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89870f9c02b3cf52/Desktop/"/>
    </mc:Choice>
  </mc:AlternateContent>
  <xr:revisionPtr revIDLastSave="53" documentId="11_C35A3653C5AE5A742AFF750424591D64D87FD3EB" xr6:coauthVersionLast="47" xr6:coauthVersionMax="47" xr10:uidLastSave="{41FC561D-997B-412C-B80F-EC6DAF2D9419}"/>
  <bookViews>
    <workbookView xWindow="-108" yWindow="-108" windowWidth="23256" windowHeight="12456" activeTab="3" xr2:uid="{00000000-000D-0000-FFFF-FFFF00000000}"/>
  </bookViews>
  <sheets>
    <sheet name="Table 23.3" sheetId="1" r:id="rId1"/>
    <sheet name="Table 23.4" sheetId="2" r:id="rId2"/>
    <sheet name="Table 23.5" sheetId="3" r:id="rId3"/>
    <sheet name="Formula Map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3" l="1"/>
  <c r="E4" i="2"/>
  <c r="G15" i="1"/>
  <c r="G14" i="1"/>
  <c r="F10" i="3"/>
  <c r="F9" i="3"/>
  <c r="F8" i="3"/>
  <c r="F7" i="3"/>
  <c r="F6" i="3"/>
  <c r="F5" i="3"/>
  <c r="F10" i="2"/>
  <c r="E10" i="2"/>
  <c r="F9" i="2"/>
  <c r="E9" i="2"/>
  <c r="F8" i="2"/>
  <c r="E8" i="2"/>
  <c r="F7" i="2"/>
  <c r="E7" i="2"/>
  <c r="F6" i="2"/>
  <c r="E6" i="2"/>
  <c r="F5" i="2"/>
  <c r="E5" i="2"/>
  <c r="F4" i="2"/>
  <c r="C21" i="1"/>
  <c r="C23" i="1" s="1"/>
  <c r="G18" i="1"/>
  <c r="D18" i="1"/>
  <c r="G17" i="1"/>
  <c r="D17" i="1"/>
  <c r="G16" i="1"/>
  <c r="D16" i="1"/>
  <c r="D15" i="1"/>
  <c r="D14" i="1"/>
  <c r="C6" i="1"/>
  <c r="E16" i="1" s="1"/>
  <c r="F16" i="1" s="1"/>
  <c r="H16" i="1" s="1"/>
  <c r="E14" i="1" l="1"/>
  <c r="F14" i="1" s="1"/>
  <c r="H14" i="1" s="1"/>
  <c r="E15" i="1"/>
  <c r="F15" i="1" s="1"/>
  <c r="H15" i="1" s="1"/>
  <c r="E17" i="1"/>
  <c r="F17" i="1" s="1"/>
  <c r="H17" i="1" s="1"/>
  <c r="E18" i="1"/>
  <c r="F18" i="1" s="1"/>
  <c r="H18" i="1" s="1"/>
  <c r="H19" i="1" l="1"/>
  <c r="C24" i="1" s="1"/>
</calcChain>
</file>

<file path=xl/sharedStrings.xml><?xml version="1.0" encoding="utf-8"?>
<sst xmlns="http://schemas.openxmlformats.org/spreadsheetml/2006/main" count="111" uniqueCount="92">
  <si>
    <t>Hull Table 23.3 — Calculation of Loss from Default on a Bond</t>
  </si>
  <si>
    <t>Input</t>
  </si>
  <si>
    <t>Value</t>
  </si>
  <si>
    <t>Explanation</t>
  </si>
  <si>
    <t>Notional principal</t>
  </si>
  <si>
    <t>Risk-free value</t>
  </si>
  <si>
    <t>PV at default time of remaining promised cash flows</t>
  </si>
  <si>
    <t>Annual coupon rate</t>
  </si>
  <si>
    <t>Loss given default</t>
  </si>
  <si>
    <t>Risk-free value − recovery amount</t>
  </si>
  <si>
    <t>Semiannual coupon</t>
  </si>
  <si>
    <t>Discount factor</t>
  </si>
  <si>
    <t>EXP(−r × time)</t>
  </si>
  <si>
    <t>Risk-free rate, continuous</t>
  </si>
  <si>
    <t>PV expected loss coefficient</t>
  </si>
  <si>
    <t>Loss given default × discount factor</t>
  </si>
  <si>
    <t>Recovery amount</t>
  </si>
  <si>
    <t>Total</t>
  </si>
  <si>
    <t>Sum of PV loss coefficients = 288.48Q</t>
  </si>
  <si>
    <t>Corporate bond price</t>
  </si>
  <si>
    <t>Q</t>
  </si>
  <si>
    <t>Expected loss / total PV coefficient</t>
  </si>
  <si>
    <t>Risk-free bond price</t>
  </si>
  <si>
    <t>Note</t>
  </si>
  <si>
    <t>Q in Table 23.3 is unconditional default probability per year</t>
  </si>
  <si>
    <t>Check</t>
  </si>
  <si>
    <t>The risk-free value column should match 106.73, 105.97, 105.17, 104.34, 103.46</t>
  </si>
  <si>
    <t>Time (years)</t>
  </si>
  <si>
    <t>Default probability</t>
  </si>
  <si>
    <t>Recovery amount ($)</t>
  </si>
  <si>
    <t>Risk-free value ($)</t>
  </si>
  <si>
    <t>Loss given default ($)</t>
  </si>
  <si>
    <t>PV of expected loss ($)</t>
  </si>
  <si>
    <t>Book expected default loss</t>
  </si>
  <si>
    <t>Formula</t>
  </si>
  <si>
    <t>Risk-free bond price − Corporate bond price</t>
  </si>
  <si>
    <t>Expected loss ($)</t>
  </si>
  <si>
    <t>Implied Q</t>
  </si>
  <si>
    <t>Hull Table 23.4 — Seven-year Average Hazard Rates</t>
  </si>
  <si>
    <t>Rating</t>
  </si>
  <si>
    <t>Historical hazard rate</t>
  </si>
  <si>
    <t>Hazard rate from bonds</t>
  </si>
  <si>
    <t>Ratio</t>
  </si>
  <si>
    <t>Difference</t>
  </si>
  <si>
    <t>Aaa</t>
  </si>
  <si>
    <t>Aa</t>
  </si>
  <si>
    <t>A</t>
  </si>
  <si>
    <t>Baa</t>
  </si>
  <si>
    <t>Ba</t>
  </si>
  <si>
    <t>B</t>
  </si>
  <si>
    <t>Caa and lower</t>
  </si>
  <si>
    <t>Bond yield spread over Treasuries (bps)</t>
  </si>
  <si>
    <t>Spread of risk-free rate over Treasuries (bps)</t>
  </si>
  <si>
    <t>Spread for historical defaults (bps)</t>
  </si>
  <si>
    <t>Excess return (bps)</t>
  </si>
  <si>
    <t>Caa</t>
  </si>
  <si>
    <t>Formula Map and Blog Explanation</t>
  </si>
  <si>
    <t>Concept</t>
  </si>
  <si>
    <t>Meaning</t>
  </si>
  <si>
    <t>Probability Type</t>
  </si>
  <si>
    <t>Approximate implied hazard rate</t>
  </si>
  <si>
    <t>λ ≈ s / (1 − R)</t>
  </si>
  <si>
    <t>Credit spread divided by loss given default</t>
  </si>
  <si>
    <t>Conditional hazard rate</t>
  </si>
  <si>
    <t>Example</t>
  </si>
  <si>
    <t>λ = 2% / 60% = 3.33%</t>
  </si>
  <si>
    <t>Approximate default intensity from spread</t>
  </si>
  <si>
    <t>Conditional</t>
  </si>
  <si>
    <t>Table 23.3 expected loss</t>
  </si>
  <si>
    <t>Risk-free bond price − corporate bond price</t>
  </si>
  <si>
    <t>Observed price gap treated as PV expected default loss</t>
  </si>
  <si>
    <t>Table 23.3 total</t>
  </si>
  <si>
    <t>PV expected loss = 288.48Q</t>
  </si>
  <si>
    <t>Sum of PV loss coefficients</t>
  </si>
  <si>
    <t>Table 23.3 Q</t>
  </si>
  <si>
    <t>Q = 8.75 / 288.48 = 3.03%</t>
  </si>
  <si>
    <t>Discrete annual default probability</t>
  </si>
  <si>
    <t>Unconditional</t>
  </si>
  <si>
    <t>λ(t)=−ln(1−Q(t))/t</t>
  </si>
  <si>
    <t>Converts cumulative historical default probability to average annual hazard rate</t>
  </si>
  <si>
    <t>Real-world</t>
  </si>
  <si>
    <t>Bond-implied hazard rate</t>
  </si>
  <si>
    <t>λ ≈ s/(1−R)</t>
  </si>
  <si>
    <t>Extracted from market spreads and recovery assumption</t>
  </si>
  <si>
    <t>Risk-neutral / market-implied</t>
  </si>
  <si>
    <t>Spread decomposition</t>
  </si>
  <si>
    <t>Excess return = spread − RF adjustment − historical default loss</t>
  </si>
  <si>
    <t>Shows spread not explained by historical expected defaults</t>
  </si>
  <si>
    <t>Risk-free vs Treasury</t>
  </si>
  <si>
    <t>Risk-free ≈ swap rate − 10 bps</t>
  </si>
  <si>
    <t>Hull uses swap-based risk-free rate, not Treasury yield</t>
  </si>
  <si>
    <t xml:space="preserve">Hull Table 23.5 — Expected Excess Return on Bonds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</si>
</sst>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5">
    <font>
      <sz val="11"/>
      <name val="Carlito"/>
    </font>
    <font>
      <b/>
      <sz val="14"/>
      <color rgb="FF111827"/>
      <name val="Carlito"/>
    </font>
    <font>
      <b/>
      <sz val="11"/>
      <color rgb="FF006100"/>
      <name val="Carlito"/>
    </font>
    <font>
      <b/>
      <sz val="11"/>
      <name val="Carlito"/>
    </font>
    <font>
      <sz val="11"/>
      <color rgb="FF9C57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4" borderId="0" applyNumberFormat="0" applyBorder="0" applyAlignment="0" applyProtection="0"/>
  </cellStyleXfs>
  <cellXfs count="39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0" fontId="0" fillId="0" borderId="4" xfId="0" applyNumberFormat="1" applyBorder="1"/>
    <xf numFmtId="2" fontId="0" fillId="0" borderId="4" xfId="0" applyNumberFormat="1" applyBorder="1"/>
    <xf numFmtId="0" fontId="2" fillId="3" borderId="7" xfId="0" applyFont="1" applyFill="1" applyBorder="1" applyAlignment="1">
      <alignment horizontal="center" vertical="center"/>
    </xf>
    <xf numFmtId="0" fontId="0" fillId="0" borderId="8" xfId="0" applyBorder="1"/>
    <xf numFmtId="0" fontId="0" fillId="0" borderId="10" xfId="0" applyBorder="1"/>
    <xf numFmtId="10" fontId="0" fillId="0" borderId="6" xfId="0" applyNumberFormat="1" applyBorder="1"/>
    <xf numFmtId="0" fontId="3" fillId="0" borderId="5" xfId="0" applyFont="1" applyBorder="1"/>
    <xf numFmtId="0" fontId="3" fillId="0" borderId="8" xfId="0" applyFont="1" applyBorder="1"/>
    <xf numFmtId="2" fontId="3" fillId="0" borderId="8" xfId="0" applyNumberFormat="1" applyFont="1" applyBorder="1"/>
    <xf numFmtId="0" fontId="3" fillId="0" borderId="9" xfId="0" applyFont="1" applyBorder="1"/>
    <xf numFmtId="0" fontId="3" fillId="0" borderId="3" xfId="0" applyFont="1" applyBorder="1"/>
    <xf numFmtId="10" fontId="0" fillId="0" borderId="0" xfId="0" applyNumberFormat="1"/>
    <xf numFmtId="10" fontId="0" fillId="0" borderId="8" xfId="0" applyNumberFormat="1" applyBorder="1"/>
    <xf numFmtId="165" fontId="0" fillId="0" borderId="0" xfId="0" applyNumberFormat="1"/>
    <xf numFmtId="165" fontId="0" fillId="0" borderId="8" xfId="0" applyNumberFormat="1" applyBorder="1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2" fontId="4" fillId="4" borderId="4" xfId="1" applyNumberFormat="1" applyBorder="1"/>
    <xf numFmtId="2" fontId="4" fillId="4" borderId="6" xfId="1" applyNumberFormat="1" applyBorder="1"/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2" fontId="3" fillId="0" borderId="6" xfId="0" applyNumberFormat="1" applyFont="1" applyBorder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4"/>
  <sheetViews>
    <sheetView showGridLines="0" workbookViewId="0">
      <selection activeCell="G16" sqref="G16"/>
    </sheetView>
  </sheetViews>
  <sheetFormatPr defaultRowHeight="13.8"/>
  <cols>
    <col min="2" max="2" width="22.3984375" customWidth="1"/>
    <col min="3" max="8" width="14.5" customWidth="1"/>
    <col min="10" max="10" width="28" customWidth="1"/>
    <col min="11" max="11" width="60" customWidth="1"/>
  </cols>
  <sheetData>
    <row r="1" spans="2:11" ht="17.399999999999999">
      <c r="B1" s="23" t="s">
        <v>0</v>
      </c>
      <c r="C1" s="23"/>
      <c r="D1" s="23"/>
      <c r="E1" s="23"/>
      <c r="F1" s="23"/>
      <c r="G1" s="23"/>
      <c r="H1" s="1"/>
    </row>
    <row r="3" spans="2:11">
      <c r="B3" s="2" t="s">
        <v>1</v>
      </c>
      <c r="C3" s="3" t="s">
        <v>2</v>
      </c>
      <c r="J3" s="2" t="s">
        <v>3</v>
      </c>
      <c r="K3" s="3"/>
    </row>
    <row r="4" spans="2:11">
      <c r="B4" s="4" t="s">
        <v>4</v>
      </c>
      <c r="C4" s="9">
        <v>100</v>
      </c>
      <c r="J4" s="4" t="s">
        <v>5</v>
      </c>
      <c r="K4" s="5" t="s">
        <v>6</v>
      </c>
    </row>
    <row r="5" spans="2:11">
      <c r="B5" s="4" t="s">
        <v>7</v>
      </c>
      <c r="C5" s="9">
        <v>0.06</v>
      </c>
      <c r="J5" s="4" t="s">
        <v>8</v>
      </c>
      <c r="K5" s="5" t="s">
        <v>9</v>
      </c>
    </row>
    <row r="6" spans="2:11">
      <c r="B6" s="4" t="s">
        <v>10</v>
      </c>
      <c r="C6" s="9">
        <f>C4*C5/2</f>
        <v>3</v>
      </c>
      <c r="J6" s="4" t="s">
        <v>11</v>
      </c>
      <c r="K6" s="5" t="s">
        <v>12</v>
      </c>
    </row>
    <row r="7" spans="2:11">
      <c r="B7" s="4" t="s">
        <v>13</v>
      </c>
      <c r="C7" s="9">
        <v>0.05</v>
      </c>
      <c r="J7" s="4" t="s">
        <v>14</v>
      </c>
      <c r="K7" s="5" t="s">
        <v>15</v>
      </c>
    </row>
    <row r="8" spans="2:11" ht="14.4">
      <c r="B8" s="4" t="s">
        <v>16</v>
      </c>
      <c r="C8" s="28">
        <v>40</v>
      </c>
      <c r="J8" s="4" t="s">
        <v>17</v>
      </c>
      <c r="K8" s="5" t="s">
        <v>18</v>
      </c>
    </row>
    <row r="9" spans="2:11" ht="14.4">
      <c r="B9" s="4" t="s">
        <v>19</v>
      </c>
      <c r="C9" s="28">
        <v>95.34</v>
      </c>
      <c r="J9" s="4" t="s">
        <v>20</v>
      </c>
      <c r="K9" s="5" t="s">
        <v>21</v>
      </c>
    </row>
    <row r="10" spans="2:11" ht="14.4">
      <c r="B10" s="6" t="s">
        <v>22</v>
      </c>
      <c r="C10" s="29">
        <v>104.09</v>
      </c>
      <c r="J10" s="4" t="s">
        <v>23</v>
      </c>
      <c r="K10" s="5" t="s">
        <v>24</v>
      </c>
    </row>
    <row r="11" spans="2:11">
      <c r="J11" s="4"/>
      <c r="K11" s="5"/>
    </row>
    <row r="12" spans="2:11">
      <c r="J12" s="6" t="s">
        <v>25</v>
      </c>
      <c r="K12" s="7" t="s">
        <v>26</v>
      </c>
    </row>
    <row r="13" spans="2:11" s="27" customFormat="1" ht="27.6">
      <c r="B13" s="24" t="s">
        <v>27</v>
      </c>
      <c r="C13" s="25" t="s">
        <v>28</v>
      </c>
      <c r="D13" s="25" t="s">
        <v>29</v>
      </c>
      <c r="E13" s="25" t="s">
        <v>30</v>
      </c>
      <c r="F13" s="25" t="s">
        <v>31</v>
      </c>
      <c r="G13" s="25" t="s">
        <v>11</v>
      </c>
      <c r="H13" s="26" t="s">
        <v>32</v>
      </c>
    </row>
    <row r="14" spans="2:11">
      <c r="B14" s="32">
        <v>0.5</v>
      </c>
      <c r="C14" s="30" t="s">
        <v>20</v>
      </c>
      <c r="D14" s="30">
        <f>$C$8</f>
        <v>40</v>
      </c>
      <c r="E14" s="33">
        <f>$C$6+$C$6*EXP(-$C$7*0.5)+$C$6*EXP(-$C$7*1)+$C$6*EXP(-$C$7*1.5)+$C$6*EXP(-$C$7*2)+$C$6*EXP(-$C$7*2.5)+$C$6*EXP(-$C$7*3)+$C$6*EXP(-$C$7*3.5)+$C$6*EXP(-$C$7*4)+(100+$C$6)*EXP(-$C$7*4.5)</f>
        <v>106.72870921346703</v>
      </c>
      <c r="F14" s="33">
        <f>E14-D14</f>
        <v>66.728709213467027</v>
      </c>
      <c r="G14" s="34">
        <f>EXP(-$C$7*B14)</f>
        <v>0.97530991202833262</v>
      </c>
      <c r="H14" s="35">
        <f>F14*G14</f>
        <v>65.081171512750714</v>
      </c>
    </row>
    <row r="15" spans="2:11">
      <c r="B15" s="32">
        <v>1.5</v>
      </c>
      <c r="C15" s="30" t="s">
        <v>20</v>
      </c>
      <c r="D15" s="30">
        <f>$C$8</f>
        <v>40</v>
      </c>
      <c r="E15" s="33">
        <f>$C$6+$C$6*EXP(-$C$7*0.5)+$C$6*EXP(-$C$7*1)+$C$6*EXP(-$C$7*1.5)+$C$6*EXP(-$C$7*2)+$C$6*EXP(-$C$7*2.5)+$C$6*EXP(-$C$7*3)+(100+$C$6)*EXP(-$C$7*3.5)</f>
        <v>105.97104849893799</v>
      </c>
      <c r="F15" s="33">
        <f>E15-D15</f>
        <v>65.971048498937989</v>
      </c>
      <c r="G15" s="34">
        <f>EXP(-$C$7*B15)</f>
        <v>0.92774348632855286</v>
      </c>
      <c r="H15" s="35">
        <f>F15*G15</f>
        <v>61.204210531154772</v>
      </c>
    </row>
    <row r="16" spans="2:11">
      <c r="B16" s="32">
        <v>2.5</v>
      </c>
      <c r="C16" s="30" t="s">
        <v>20</v>
      </c>
      <c r="D16" s="30">
        <f>$C$8</f>
        <v>40</v>
      </c>
      <c r="E16" s="33">
        <f>$C$6+$C$6*EXP(-$C$7*0.5)+$C$6*EXP(-$C$7*1)+$C$6*EXP(-$C$7*1.5)+$C$6*EXP(-$C$7*2)+(100+$C$6)*EXP(-$C$7*2.5)</f>
        <v>105.17454168889401</v>
      </c>
      <c r="F16" s="33">
        <f>E16-D16</f>
        <v>65.17454168889401</v>
      </c>
      <c r="G16" s="34">
        <f>EXP(-$C$7*B16)</f>
        <v>0.88249690258459546</v>
      </c>
      <c r="H16" s="35">
        <f>F16*G16</f>
        <v>57.516331167819551</v>
      </c>
    </row>
    <row r="17" spans="2:8">
      <c r="B17" s="32">
        <v>3.5</v>
      </c>
      <c r="C17" s="30" t="s">
        <v>20</v>
      </c>
      <c r="D17" s="30">
        <f>$C$8</f>
        <v>40</v>
      </c>
      <c r="E17" s="33">
        <f>$C$6+$C$6*EXP(-$C$7*0.5)+$C$6*EXP(-$C$7*1)+(100+$C$6)*EXP(-$C$7*1.5)</f>
        <v>104.33719710142809</v>
      </c>
      <c r="F17" s="33">
        <f>E17-D17</f>
        <v>64.337197101428089</v>
      </c>
      <c r="G17" s="34">
        <f>EXP(-$C$7*B17)</f>
        <v>0.83945702076920736</v>
      </c>
      <c r="H17" s="35">
        <f>F17*G17</f>
        <v>54.008311803406109</v>
      </c>
    </row>
    <row r="18" spans="2:8">
      <c r="B18" s="31">
        <v>4.5</v>
      </c>
      <c r="C18" s="31" t="s">
        <v>20</v>
      </c>
      <c r="D18" s="31">
        <f>$C$8</f>
        <v>40</v>
      </c>
      <c r="E18" s="36">
        <f>$C$6+(100+$C$6)*EXP(-$C$7*0.5)</f>
        <v>103.45692093891826</v>
      </c>
      <c r="F18" s="36">
        <f>E18-D18</f>
        <v>63.456920938918259</v>
      </c>
      <c r="G18" s="37">
        <f>EXP(-$C$7*B18)</f>
        <v>0.79851621875937706</v>
      </c>
      <c r="H18" s="36">
        <f>F18*G18</f>
        <v>50.671380562257745</v>
      </c>
    </row>
    <row r="19" spans="2:8">
      <c r="B19" s="14" t="s">
        <v>17</v>
      </c>
      <c r="C19" s="15"/>
      <c r="D19" s="15"/>
      <c r="E19" s="16"/>
      <c r="F19" s="16"/>
      <c r="G19" s="16"/>
      <c r="H19" s="38">
        <f>SUM(H14:H18)</f>
        <v>288.4814055773889</v>
      </c>
    </row>
    <row r="21" spans="2:8">
      <c r="B21" s="17" t="s">
        <v>33</v>
      </c>
      <c r="C21" s="12">
        <f>C10-C9</f>
        <v>8.75</v>
      </c>
    </row>
    <row r="22" spans="2:8">
      <c r="B22" s="18" t="s">
        <v>34</v>
      </c>
      <c r="C22" s="5" t="s">
        <v>35</v>
      </c>
    </row>
    <row r="23" spans="2:8">
      <c r="B23" s="18" t="s">
        <v>36</v>
      </c>
      <c r="C23" s="5">
        <f>C21</f>
        <v>8.75</v>
      </c>
    </row>
    <row r="24" spans="2:8">
      <c r="B24" s="14" t="s">
        <v>37</v>
      </c>
      <c r="C24" s="13">
        <f>C23/H19</f>
        <v>3.0331244339603367E-2</v>
      </c>
    </row>
  </sheetData>
  <mergeCells count="1"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>
      <selection activeCell="M13" sqref="M13"/>
    </sheetView>
  </sheetViews>
  <sheetFormatPr defaultRowHeight="13.8"/>
  <cols>
    <col min="2" max="6" width="15.3984375" customWidth="1"/>
  </cols>
  <sheetData>
    <row r="1" spans="2:6" ht="17.399999999999999">
      <c r="B1" s="1" t="s">
        <v>38</v>
      </c>
      <c r="C1" s="1"/>
      <c r="D1" s="1"/>
      <c r="E1" s="1"/>
      <c r="F1" s="1"/>
    </row>
    <row r="3" spans="2:6" ht="27.6">
      <c r="B3" s="24" t="s">
        <v>39</v>
      </c>
      <c r="C3" s="25" t="s">
        <v>40</v>
      </c>
      <c r="D3" s="25" t="s">
        <v>41</v>
      </c>
      <c r="E3" s="25" t="s">
        <v>42</v>
      </c>
      <c r="F3" s="26" t="s">
        <v>43</v>
      </c>
    </row>
    <row r="4" spans="2:6">
      <c r="B4" s="4" t="s">
        <v>44</v>
      </c>
      <c r="C4" s="19">
        <v>4.0000000000000002E-4</v>
      </c>
      <c r="D4" s="19">
        <v>6.0000000000000001E-3</v>
      </c>
      <c r="E4" s="21">
        <f>D4/C4</f>
        <v>15</v>
      </c>
      <c r="F4" s="8">
        <f t="shared" ref="F4:F10" si="0">D4-C4</f>
        <v>5.5999999999999999E-3</v>
      </c>
    </row>
    <row r="5" spans="2:6">
      <c r="B5" s="4" t="s">
        <v>45</v>
      </c>
      <c r="C5" s="19">
        <v>5.0000000000000001E-4</v>
      </c>
      <c r="D5" s="19">
        <v>7.3000000000000001E-3</v>
      </c>
      <c r="E5" s="21">
        <f t="shared" ref="E4:E10" si="1">D5/C5</f>
        <v>14.6</v>
      </c>
      <c r="F5" s="8">
        <f t="shared" si="0"/>
        <v>6.8000000000000005E-3</v>
      </c>
    </row>
    <row r="6" spans="2:6">
      <c r="B6" s="4" t="s">
        <v>46</v>
      </c>
      <c r="C6" s="19">
        <v>1.6999999999999999E-3</v>
      </c>
      <c r="D6" s="19">
        <v>1.15E-2</v>
      </c>
      <c r="E6" s="21">
        <f t="shared" si="1"/>
        <v>6.7647058823529411</v>
      </c>
      <c r="F6" s="8">
        <f t="shared" si="0"/>
        <v>9.7999999999999997E-3</v>
      </c>
    </row>
    <row r="7" spans="2:6">
      <c r="B7" s="4" t="s">
        <v>47</v>
      </c>
      <c r="C7" s="19">
        <v>4.3E-3</v>
      </c>
      <c r="D7" s="19">
        <v>2.1299999999999999E-2</v>
      </c>
      <c r="E7" s="21">
        <f t="shared" si="1"/>
        <v>4.9534883720930232</v>
      </c>
      <c r="F7" s="8">
        <f t="shared" si="0"/>
        <v>1.7000000000000001E-2</v>
      </c>
    </row>
    <row r="8" spans="2:6">
      <c r="B8" s="4" t="s">
        <v>48</v>
      </c>
      <c r="C8" s="19">
        <v>2.2100000000000002E-2</v>
      </c>
      <c r="D8" s="19">
        <v>4.6699999999999998E-2</v>
      </c>
      <c r="E8" s="21">
        <f t="shared" si="1"/>
        <v>2.113122171945701</v>
      </c>
      <c r="F8" s="8">
        <f t="shared" si="0"/>
        <v>2.4599999999999997E-2</v>
      </c>
    </row>
    <row r="9" spans="2:6">
      <c r="B9" s="4" t="s">
        <v>49</v>
      </c>
      <c r="C9" s="19">
        <v>6.0400000000000002E-2</v>
      </c>
      <c r="D9" s="19">
        <v>8.0199999999999994E-2</v>
      </c>
      <c r="E9" s="21">
        <f t="shared" si="1"/>
        <v>1.3278145695364236</v>
      </c>
      <c r="F9" s="8">
        <f t="shared" si="0"/>
        <v>1.9799999999999991E-2</v>
      </c>
    </row>
    <row r="10" spans="2:6">
      <c r="B10" s="6" t="s">
        <v>50</v>
      </c>
      <c r="C10" s="20">
        <v>0.13009999999999999</v>
      </c>
      <c r="D10" s="20">
        <v>0.18390000000000001</v>
      </c>
      <c r="E10" s="22">
        <f t="shared" si="1"/>
        <v>1.4135280553420446</v>
      </c>
      <c r="F10" s="13">
        <f t="shared" si="0"/>
        <v>5.3800000000000014E-2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showGridLines="0" workbookViewId="0">
      <selection activeCell="I16" sqref="I16"/>
    </sheetView>
  </sheetViews>
  <sheetFormatPr defaultRowHeight="13.8"/>
  <cols>
    <col min="2" max="6" width="16.3984375" customWidth="1"/>
  </cols>
  <sheetData>
    <row r="1" spans="2:6" ht="17.399999999999999">
      <c r="B1" s="23" t="s">
        <v>91</v>
      </c>
      <c r="C1" s="23"/>
      <c r="D1" s="23"/>
      <c r="E1" s="23"/>
      <c r="F1" s="23"/>
    </row>
    <row r="3" spans="2:6" s="27" customFormat="1" ht="41.4">
      <c r="B3" s="24" t="s">
        <v>39</v>
      </c>
      <c r="C3" s="25" t="s">
        <v>51</v>
      </c>
      <c r="D3" s="25" t="s">
        <v>52</v>
      </c>
      <c r="E3" s="25" t="s">
        <v>53</v>
      </c>
      <c r="F3" s="26" t="s">
        <v>54</v>
      </c>
    </row>
    <row r="4" spans="2:6">
      <c r="B4" s="4" t="s">
        <v>44</v>
      </c>
      <c r="C4">
        <v>78</v>
      </c>
      <c r="D4">
        <v>42</v>
      </c>
      <c r="E4">
        <v>2</v>
      </c>
      <c r="F4" s="5">
        <f>C4-D4-E4</f>
        <v>34</v>
      </c>
    </row>
    <row r="5" spans="2:6">
      <c r="B5" s="4" t="s">
        <v>45</v>
      </c>
      <c r="C5">
        <v>86</v>
      </c>
      <c r="D5">
        <v>42</v>
      </c>
      <c r="E5">
        <v>3</v>
      </c>
      <c r="F5" s="5">
        <f t="shared" ref="F5:F10" si="0">C5-D5-E5</f>
        <v>41</v>
      </c>
    </row>
    <row r="6" spans="2:6">
      <c r="B6" s="4" t="s">
        <v>46</v>
      </c>
      <c r="C6">
        <v>111</v>
      </c>
      <c r="D6">
        <v>42</v>
      </c>
      <c r="E6">
        <v>10</v>
      </c>
      <c r="F6" s="5">
        <f t="shared" si="0"/>
        <v>59</v>
      </c>
    </row>
    <row r="7" spans="2:6">
      <c r="B7" s="4" t="s">
        <v>47</v>
      </c>
      <c r="C7">
        <v>169</v>
      </c>
      <c r="D7">
        <v>42</v>
      </c>
      <c r="E7">
        <v>26</v>
      </c>
      <c r="F7" s="5">
        <f t="shared" si="0"/>
        <v>101</v>
      </c>
    </row>
    <row r="8" spans="2:6">
      <c r="B8" s="4" t="s">
        <v>48</v>
      </c>
      <c r="C8">
        <v>322</v>
      </c>
      <c r="D8">
        <v>42</v>
      </c>
      <c r="E8">
        <v>132</v>
      </c>
      <c r="F8" s="5">
        <f t="shared" si="0"/>
        <v>148</v>
      </c>
    </row>
    <row r="9" spans="2:6">
      <c r="B9" s="4" t="s">
        <v>49</v>
      </c>
      <c r="C9">
        <v>523</v>
      </c>
      <c r="D9">
        <v>42</v>
      </c>
      <c r="E9">
        <v>362</v>
      </c>
      <c r="F9" s="5">
        <f t="shared" si="0"/>
        <v>119</v>
      </c>
    </row>
    <row r="10" spans="2:6">
      <c r="B10" s="6" t="s">
        <v>55</v>
      </c>
      <c r="C10" s="11">
        <v>1146</v>
      </c>
      <c r="D10" s="11">
        <v>42</v>
      </c>
      <c r="E10" s="11">
        <v>781</v>
      </c>
      <c r="F10" s="7">
        <f t="shared" si="0"/>
        <v>323</v>
      </c>
    </row>
  </sheetData>
  <mergeCells count="1">
    <mergeCell ref="B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"/>
  <sheetViews>
    <sheetView tabSelected="1" workbookViewId="0">
      <selection activeCell="C19" sqref="C19"/>
    </sheetView>
  </sheetViews>
  <sheetFormatPr defaultRowHeight="13.8"/>
  <cols>
    <col min="1" max="2" width="32" customWidth="1"/>
    <col min="3" max="3" width="70" customWidth="1"/>
    <col min="4" max="4" width="28" customWidth="1"/>
  </cols>
  <sheetData>
    <row r="1" spans="1:4" ht="17.399999999999999">
      <c r="A1" s="1" t="s">
        <v>56</v>
      </c>
      <c r="B1" s="1" t="s">
        <v>56</v>
      </c>
      <c r="C1" s="1" t="s">
        <v>56</v>
      </c>
      <c r="D1" s="1" t="s">
        <v>56</v>
      </c>
    </row>
    <row r="3" spans="1:4">
      <c r="A3" s="2" t="s">
        <v>57</v>
      </c>
      <c r="B3" s="10" t="s">
        <v>34</v>
      </c>
      <c r="C3" s="10" t="s">
        <v>58</v>
      </c>
      <c r="D3" s="3" t="s">
        <v>59</v>
      </c>
    </row>
    <row r="4" spans="1:4">
      <c r="A4" s="4" t="s">
        <v>60</v>
      </c>
      <c r="B4" t="s">
        <v>61</v>
      </c>
      <c r="C4" t="s">
        <v>62</v>
      </c>
      <c r="D4" s="5" t="s">
        <v>63</v>
      </c>
    </row>
    <row r="5" spans="1:4">
      <c r="A5" s="4" t="s">
        <v>64</v>
      </c>
      <c r="B5" t="s">
        <v>65</v>
      </c>
      <c r="C5" t="s">
        <v>66</v>
      </c>
      <c r="D5" s="5" t="s">
        <v>67</v>
      </c>
    </row>
    <row r="6" spans="1:4">
      <c r="A6" s="4" t="s">
        <v>68</v>
      </c>
      <c r="B6" t="s">
        <v>69</v>
      </c>
      <c r="C6" t="s">
        <v>70</v>
      </c>
      <c r="D6" s="5"/>
    </row>
    <row r="7" spans="1:4">
      <c r="A7" s="4" t="s">
        <v>71</v>
      </c>
      <c r="B7" t="s">
        <v>72</v>
      </c>
      <c r="C7" t="s">
        <v>73</v>
      </c>
      <c r="D7" s="5"/>
    </row>
    <row r="8" spans="1:4">
      <c r="A8" s="4" t="s">
        <v>74</v>
      </c>
      <c r="B8" t="s">
        <v>75</v>
      </c>
      <c r="C8" t="s">
        <v>76</v>
      </c>
      <c r="D8" s="5" t="s">
        <v>77</v>
      </c>
    </row>
    <row r="9" spans="1:4">
      <c r="A9" s="4" t="s">
        <v>40</v>
      </c>
      <c r="B9" t="s">
        <v>78</v>
      </c>
      <c r="C9" t="s">
        <v>79</v>
      </c>
      <c r="D9" s="5" t="s">
        <v>80</v>
      </c>
    </row>
    <row r="10" spans="1:4">
      <c r="A10" s="4" t="s">
        <v>81</v>
      </c>
      <c r="B10" t="s">
        <v>82</v>
      </c>
      <c r="C10" t="s">
        <v>83</v>
      </c>
      <c r="D10" s="5" t="s">
        <v>84</v>
      </c>
    </row>
    <row r="11" spans="1:4">
      <c r="A11" s="4" t="s">
        <v>85</v>
      </c>
      <c r="B11" t="s">
        <v>86</v>
      </c>
      <c r="C11" t="s">
        <v>87</v>
      </c>
      <c r="D11" s="5"/>
    </row>
    <row r="12" spans="1:4">
      <c r="A12" s="6" t="s">
        <v>88</v>
      </c>
      <c r="B12" s="11" t="s">
        <v>89</v>
      </c>
      <c r="C12" s="11" t="s">
        <v>90</v>
      </c>
      <c r="D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23.3</vt:lpstr>
      <vt:lpstr>Table 23.4</vt:lpstr>
      <vt:lpstr>Table 23.5</vt:lpstr>
      <vt:lpstr>Formula 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Shota Modebadze</cp:lastModifiedBy>
  <dcterms:modified xsi:type="dcterms:W3CDTF">2026-05-04T05:07:26Z</dcterms:modified>
</cp:coreProperties>
</file>