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ocuments/RE Finance Books/"/>
    </mc:Choice>
  </mc:AlternateContent>
  <xr:revisionPtr revIDLastSave="651" documentId="11_F25DC773A252ABDACC1048D7991B778C5ADE58EC" xr6:coauthVersionLast="47" xr6:coauthVersionMax="47" xr10:uidLastSave="{10335894-4D38-440B-86DE-02ABB91B759A}"/>
  <bookViews>
    <workbookView xWindow="-108" yWindow="-108" windowWidth="23256" windowHeight="12456" activeTab="1" xr2:uid="{00000000-000D-0000-FFFF-FFFF00000000}"/>
  </bookViews>
  <sheets>
    <sheet name="OCC of Development" sheetId="1" r:id="rId1"/>
    <sheet name="Option Valu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H6" i="2"/>
  <c r="C20" i="2"/>
  <c r="H4" i="2"/>
  <c r="H2" i="2"/>
  <c r="H3" i="2"/>
  <c r="D5" i="2"/>
  <c r="E5" i="2" s="1"/>
  <c r="C5" i="2"/>
  <c r="C4" i="2"/>
  <c r="D4" i="2" s="1"/>
  <c r="E3" i="2"/>
  <c r="C6" i="2" l="1"/>
  <c r="C7" i="2" s="1"/>
  <c r="E4" i="2"/>
  <c r="C12" i="2" s="1"/>
  <c r="D6" i="2"/>
  <c r="E6" i="2" l="1"/>
  <c r="D7" i="2" s="1"/>
  <c r="C15" i="2" s="1"/>
  <c r="C17" i="2"/>
  <c r="C16" i="2"/>
  <c r="L30" i="1"/>
  <c r="M10" i="1"/>
  <c r="M9" i="1"/>
  <c r="L28" i="1"/>
  <c r="L13" i="1"/>
  <c r="L10" i="1"/>
  <c r="L11" i="1"/>
  <c r="L14" i="1"/>
  <c r="L18" i="1"/>
  <c r="L9" i="1"/>
  <c r="L7" i="1"/>
  <c r="M6" i="1"/>
  <c r="N6" i="1"/>
  <c r="O6" i="1"/>
  <c r="L6" i="1"/>
  <c r="L4" i="1"/>
  <c r="L3" i="1"/>
  <c r="M3" i="1"/>
  <c r="D29" i="1"/>
  <c r="D28" i="1"/>
  <c r="E22" i="1"/>
  <c r="F22" i="1" s="1"/>
  <c r="G22" i="1" s="1"/>
  <c r="D20" i="1"/>
  <c r="F20" i="1"/>
  <c r="E21" i="1"/>
  <c r="F21" i="1"/>
  <c r="G21" i="1"/>
  <c r="D21" i="1"/>
  <c r="D14" i="1"/>
  <c r="D15" i="1" s="1"/>
  <c r="E13" i="1"/>
  <c r="E14" i="1" s="1"/>
  <c r="E15" i="1" s="1"/>
  <c r="E4" i="1"/>
  <c r="E6" i="1" s="1"/>
  <c r="E8" i="1" s="1"/>
  <c r="D4" i="1"/>
  <c r="D6" i="1" s="1"/>
  <c r="D8" i="1" s="1"/>
  <c r="C18" i="2" l="1"/>
  <c r="D9" i="1"/>
  <c r="D23" i="1"/>
  <c r="G20" i="1"/>
  <c r="G23" i="1"/>
  <c r="F23" i="1"/>
  <c r="E20" i="1"/>
  <c r="E23" i="1" s="1"/>
  <c r="F13" i="1"/>
  <c r="D24" i="1" l="1"/>
  <c r="F14" i="1"/>
  <c r="F15" i="1" s="1"/>
  <c r="G13" i="1"/>
  <c r="G14" i="1" s="1"/>
  <c r="G15" i="1" s="1"/>
  <c r="D16" i="1" l="1"/>
  <c r="D18" i="1" s="1"/>
  <c r="D26" i="1" s="1"/>
</calcChain>
</file>

<file path=xl/sharedStrings.xml><?xml version="1.0" encoding="utf-8"?>
<sst xmlns="http://schemas.openxmlformats.org/spreadsheetml/2006/main" count="58" uniqueCount="50">
  <si>
    <t>Blocks</t>
  </si>
  <si>
    <t>A</t>
  </si>
  <si>
    <t>B</t>
  </si>
  <si>
    <t>Annual Rate for Revenues</t>
  </si>
  <si>
    <t>Monthly Rate (/12)</t>
  </si>
  <si>
    <t>Value upon completion</t>
  </si>
  <si>
    <t>Monthly Revenues</t>
  </si>
  <si>
    <t>Construction Outflows</t>
  </si>
  <si>
    <t>Outflow Periods (m)</t>
  </si>
  <si>
    <t>Annual Discount Rate</t>
  </si>
  <si>
    <t>Monthly Rate</t>
  </si>
  <si>
    <t>Present Values</t>
  </si>
  <si>
    <t>NPV</t>
  </si>
  <si>
    <t>OCC</t>
  </si>
  <si>
    <t>Cash Flow</t>
  </si>
  <si>
    <t>Periods (month)</t>
  </si>
  <si>
    <t>Goal Seek</t>
  </si>
  <si>
    <t>IRR/Month</t>
  </si>
  <si>
    <t>T</t>
  </si>
  <si>
    <r>
      <t>V</t>
    </r>
    <r>
      <rPr>
        <vertAlign val="subscript"/>
        <sz val="11"/>
        <color theme="1"/>
        <rFont val="Cambria"/>
        <family val="1"/>
        <charset val="204"/>
      </rPr>
      <t>t</t>
    </r>
  </si>
  <si>
    <r>
      <t>K</t>
    </r>
    <r>
      <rPr>
        <vertAlign val="subscript"/>
        <sz val="11"/>
        <color theme="1"/>
        <rFont val="Cambria"/>
        <family val="1"/>
        <charset val="204"/>
      </rPr>
      <t>t</t>
    </r>
  </si>
  <si>
    <r>
      <t>E[r</t>
    </r>
    <r>
      <rPr>
        <vertAlign val="subscript"/>
        <sz val="11"/>
        <color theme="1"/>
        <rFont val="Cambria"/>
        <family val="1"/>
        <charset val="204"/>
      </rPr>
      <t>V</t>
    </r>
    <r>
      <rPr>
        <sz val="11"/>
        <color theme="1"/>
        <rFont val="Cambria"/>
        <family val="1"/>
        <charset val="204"/>
      </rPr>
      <t>]</t>
    </r>
  </si>
  <si>
    <r>
      <t>E[r</t>
    </r>
    <r>
      <rPr>
        <vertAlign val="subscript"/>
        <sz val="11"/>
        <color theme="1"/>
        <rFont val="Cambria"/>
        <family val="1"/>
        <charset val="204"/>
      </rPr>
      <t>D</t>
    </r>
    <r>
      <rPr>
        <sz val="11"/>
        <color theme="1"/>
        <rFont val="Cambria"/>
        <family val="1"/>
        <charset val="204"/>
      </rPr>
      <t>]</t>
    </r>
  </si>
  <si>
    <r>
      <t>Present Value (V</t>
    </r>
    <r>
      <rPr>
        <b/>
        <vertAlign val="subscript"/>
        <sz val="11"/>
        <color theme="1"/>
        <rFont val="Cambria"/>
        <family val="1"/>
        <charset val="204"/>
      </rPr>
      <t>0</t>
    </r>
    <r>
      <rPr>
        <b/>
        <sz val="11"/>
        <color theme="1"/>
        <rFont val="Cambria"/>
        <family val="1"/>
        <charset val="204"/>
      </rPr>
      <t>)</t>
    </r>
  </si>
  <si>
    <r>
      <t>Present Value (K</t>
    </r>
    <r>
      <rPr>
        <b/>
        <vertAlign val="subscript"/>
        <sz val="11"/>
        <color theme="1"/>
        <rFont val="Cambria"/>
        <family val="1"/>
        <charset val="204"/>
      </rPr>
      <t>0</t>
    </r>
    <r>
      <rPr>
        <b/>
        <sz val="11"/>
        <color theme="1"/>
        <rFont val="Cambria"/>
        <family val="1"/>
        <charset val="204"/>
      </rPr>
      <t>)</t>
    </r>
  </si>
  <si>
    <t>Canonical Formula</t>
  </si>
  <si>
    <t>Construction time (m)</t>
  </si>
  <si>
    <t>LV</t>
  </si>
  <si>
    <r>
      <t>E[r</t>
    </r>
    <r>
      <rPr>
        <b/>
        <vertAlign val="subscript"/>
        <sz val="11"/>
        <color theme="1"/>
        <rFont val="Cambria"/>
        <family val="1"/>
        <charset val="204"/>
      </rPr>
      <t>C</t>
    </r>
    <r>
      <rPr>
        <b/>
        <sz val="11"/>
        <color theme="1"/>
        <rFont val="Cambria"/>
        <family val="1"/>
        <charset val="204"/>
      </rPr>
      <t>]</t>
    </r>
  </si>
  <si>
    <t>Next Year (A)</t>
  </si>
  <si>
    <t>Next Year (B)</t>
  </si>
  <si>
    <t>Risk Free Rate</t>
  </si>
  <si>
    <t>Probability</t>
  </si>
  <si>
    <t>Dev. Risk Adjusted Rate</t>
  </si>
  <si>
    <t>Value of developed property</t>
  </si>
  <si>
    <t>Construction cost (excl. land cost)</t>
  </si>
  <si>
    <t>Expected value of option</t>
  </si>
  <si>
    <t>Risk Free World Method</t>
  </si>
  <si>
    <t>Expected Value of Land</t>
  </si>
  <si>
    <t>PV of Built Property</t>
  </si>
  <si>
    <r>
      <t>E</t>
    </r>
    <r>
      <rPr>
        <vertAlign val="subscript"/>
        <sz val="11"/>
        <color theme="1"/>
        <rFont val="Cambria"/>
        <family val="1"/>
        <charset val="204"/>
      </rPr>
      <t>0</t>
    </r>
    <r>
      <rPr>
        <sz val="11"/>
        <color theme="1"/>
        <rFont val="Cambria"/>
        <family val="1"/>
        <charset val="204"/>
      </rPr>
      <t>[C</t>
    </r>
    <r>
      <rPr>
        <vertAlign val="subscript"/>
        <sz val="11"/>
        <color theme="1"/>
        <rFont val="Cambria"/>
        <family val="1"/>
        <charset val="204"/>
      </rPr>
      <t>1</t>
    </r>
    <r>
      <rPr>
        <sz val="11"/>
        <color theme="1"/>
        <rFont val="Cambria"/>
        <family val="1"/>
        <charset val="204"/>
      </rPr>
      <t>]</t>
    </r>
  </si>
  <si>
    <r>
      <t>[C</t>
    </r>
    <r>
      <rPr>
        <vertAlign val="subscript"/>
        <sz val="11"/>
        <color theme="1"/>
        <rFont val="Cambria"/>
        <family val="1"/>
        <charset val="204"/>
      </rPr>
      <t>1</t>
    </r>
    <r>
      <rPr>
        <sz val="11"/>
        <color theme="1"/>
        <rFont val="Cambria"/>
        <family val="1"/>
        <charset val="204"/>
      </rPr>
      <t>]up</t>
    </r>
  </si>
  <si>
    <r>
      <t>[C</t>
    </r>
    <r>
      <rPr>
        <vertAlign val="subscript"/>
        <sz val="11"/>
        <color theme="1"/>
        <rFont val="Cambria"/>
        <family val="1"/>
        <charset val="204"/>
      </rPr>
      <t>1</t>
    </r>
    <r>
      <rPr>
        <sz val="11"/>
        <color theme="1"/>
        <rFont val="Cambria"/>
        <family val="1"/>
        <charset val="204"/>
      </rPr>
      <t>]down</t>
    </r>
  </si>
  <si>
    <r>
      <t>PV(C</t>
    </r>
    <r>
      <rPr>
        <vertAlign val="subscript"/>
        <sz val="11"/>
        <color theme="1"/>
        <rFont val="Cambria"/>
        <family val="1"/>
        <charset val="204"/>
      </rPr>
      <t>1</t>
    </r>
    <r>
      <rPr>
        <sz val="11"/>
        <color theme="1"/>
        <rFont val="Cambria"/>
        <family val="1"/>
        <charset val="204"/>
      </rPr>
      <t>)</t>
    </r>
  </si>
  <si>
    <t>Deviaton of Property Value</t>
  </si>
  <si>
    <t>Deviation on Land Value</t>
  </si>
  <si>
    <t>Ratio</t>
  </si>
  <si>
    <t>Implied Discount Rate for Option/Land</t>
  </si>
  <si>
    <t>Risk Premium for Development</t>
  </si>
  <si>
    <t>Risk Premium for Built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</si>
</sst>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b/>
      <vertAlign val="subscript"/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3" applyNumberFormat="1" applyFont="1"/>
    <xf numFmtId="165" fontId="2" fillId="0" borderId="0" xfId="2" applyNumberFormat="1" applyFont="1"/>
    <xf numFmtId="166" fontId="2" fillId="0" borderId="0" xfId="0" applyNumberFormat="1" applyFont="1"/>
    <xf numFmtId="165" fontId="2" fillId="0" borderId="1" xfId="0" applyNumberFormat="1" applyFont="1" applyBorder="1"/>
    <xf numFmtId="0" fontId="3" fillId="3" borderId="0" xfId="0" applyFont="1" applyFill="1"/>
    <xf numFmtId="165" fontId="3" fillId="3" borderId="0" xfId="0" applyNumberFormat="1" applyFont="1" applyFill="1"/>
    <xf numFmtId="0" fontId="2" fillId="3" borderId="0" xfId="0" applyFont="1" applyFill="1"/>
    <xf numFmtId="167" fontId="2" fillId="0" borderId="0" xfId="1" applyNumberFormat="1" applyFont="1"/>
    <xf numFmtId="10" fontId="2" fillId="0" borderId="0" xfId="0" applyNumberFormat="1" applyFont="1"/>
    <xf numFmtId="167" fontId="2" fillId="0" borderId="1" xfId="0" applyNumberFormat="1" applyFont="1" applyBorder="1"/>
    <xf numFmtId="167" fontId="3" fillId="3" borderId="0" xfId="0" applyNumberFormat="1" applyFont="1" applyFill="1"/>
    <xf numFmtId="0" fontId="3" fillId="0" borderId="0" xfId="0" applyFont="1"/>
    <xf numFmtId="165" fontId="3" fillId="0" borderId="0" xfId="0" applyNumberFormat="1" applyFont="1"/>
    <xf numFmtId="167" fontId="2" fillId="0" borderId="0" xfId="0" applyNumberFormat="1" applyFont="1"/>
    <xf numFmtId="10" fontId="2" fillId="2" borderId="0" xfId="0" applyNumberFormat="1" applyFont="1" applyFill="1"/>
    <xf numFmtId="165" fontId="2" fillId="0" borderId="0" xfId="0" applyNumberFormat="1" applyFont="1"/>
    <xf numFmtId="44" fontId="2" fillId="0" borderId="0" xfId="0" applyNumberFormat="1" applyFont="1"/>
    <xf numFmtId="10" fontId="3" fillId="3" borderId="0" xfId="3" applyNumberFormat="1" applyFont="1" applyFill="1"/>
    <xf numFmtId="10" fontId="2" fillId="0" borderId="0" xfId="3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6" fontId="2" fillId="0" borderId="2" xfId="0" applyNumberFormat="1" applyFont="1" applyBorder="1" applyAlignment="1">
      <alignment horizontal="right"/>
    </xf>
    <xf numFmtId="6" fontId="3" fillId="0" borderId="1" xfId="0" applyNumberFormat="1" applyFont="1" applyBorder="1" applyAlignment="1">
      <alignment horizontal="right"/>
    </xf>
    <xf numFmtId="6" fontId="2" fillId="0" borderId="0" xfId="0" applyNumberFormat="1" applyFont="1" applyAlignment="1">
      <alignment horizontal="right" vertical="center"/>
    </xf>
    <xf numFmtId="6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0" fontId="2" fillId="0" borderId="0" xfId="3" applyNumberFormat="1" applyFont="1" applyAlignment="1">
      <alignment horizontal="right" vertical="center"/>
    </xf>
    <xf numFmtId="10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3" fillId="0" borderId="0" xfId="3" applyNumberFormat="1" applyFont="1"/>
    <xf numFmtId="10" fontId="3" fillId="0" borderId="1" xfId="0" applyNumberFormat="1" applyFont="1" applyBorder="1"/>
    <xf numFmtId="2" fontId="3" fillId="0" borderId="1" xfId="0" applyNumberFormat="1" applyFont="1" applyBorder="1"/>
    <xf numFmtId="0" fontId="2" fillId="3" borderId="3" xfId="0" applyFont="1" applyFill="1" applyBorder="1"/>
    <xf numFmtId="0" fontId="2" fillId="3" borderId="5" xfId="0" applyFont="1" applyFill="1" applyBorder="1"/>
    <xf numFmtId="0" fontId="2" fillId="0" borderId="6" xfId="0" applyFont="1" applyBorder="1" applyAlignment="1">
      <alignment vertical="center" wrapText="1"/>
    </xf>
    <xf numFmtId="9" fontId="2" fillId="0" borderId="8" xfId="0" applyNumberFormat="1" applyFont="1" applyBorder="1" applyAlignment="1">
      <alignment vertical="center" wrapText="1"/>
    </xf>
    <xf numFmtId="9" fontId="2" fillId="0" borderId="7" xfId="0" applyNumberFormat="1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vertical="center" wrapText="1"/>
    </xf>
    <xf numFmtId="6" fontId="3" fillId="0" borderId="8" xfId="0" applyNumberFormat="1" applyFont="1" applyBorder="1" applyAlignment="1">
      <alignment vertical="center" wrapText="1"/>
    </xf>
    <xf numFmtId="6" fontId="3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9" fontId="2" fillId="0" borderId="0" xfId="0" applyNumberFormat="1" applyFont="1" applyBorder="1" applyAlignment="1">
      <alignment vertical="center" wrapText="1"/>
    </xf>
    <xf numFmtId="6" fontId="2" fillId="0" borderId="0" xfId="0" applyNumberFormat="1" applyFont="1" applyBorder="1" applyAlignment="1">
      <alignment vertical="center" wrapText="1"/>
    </xf>
    <xf numFmtId="6" fontId="3" fillId="0" borderId="0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6" fontId="3" fillId="0" borderId="10" xfId="0" applyNumberFormat="1" applyFont="1" applyBorder="1" applyAlignment="1">
      <alignment vertical="center" wrapText="1"/>
    </xf>
    <xf numFmtId="6" fontId="3" fillId="0" borderId="12" xfId="0" applyNumberFormat="1" applyFont="1" applyBorder="1" applyAlignment="1">
      <alignment horizontal="center" vertical="center" wrapText="1"/>
    </xf>
    <xf numFmtId="6" fontId="3" fillId="0" borderId="1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6" fontId="2" fillId="0" borderId="8" xfId="0" applyNumberFormat="1" applyFont="1" applyBorder="1" applyAlignment="1">
      <alignment vertical="center" wrapText="1"/>
    </xf>
    <xf numFmtId="6" fontId="2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/>
    <xf numFmtId="6" fontId="2" fillId="0" borderId="11" xfId="0" applyNumberFormat="1" applyFont="1" applyBorder="1"/>
    <xf numFmtId="6" fontId="2" fillId="0" borderId="7" xfId="0" applyNumberFormat="1" applyFont="1" applyBorder="1"/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1" xfId="3" applyNumberFormat="1" applyFont="1" applyBorder="1"/>
    <xf numFmtId="0" fontId="3" fillId="0" borderId="14" xfId="0" applyFont="1" applyBorder="1"/>
    <xf numFmtId="10" fontId="3" fillId="0" borderId="15" xfId="3" applyNumberFormat="1" applyFont="1" applyBorder="1"/>
    <xf numFmtId="43" fontId="3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388620</xdr:colOff>
      <xdr:row>15</xdr:row>
      <xdr:rowOff>152400</xdr:rowOff>
    </xdr:from>
    <xdr:to>
      <xdr:col>15</xdr:col>
      <xdr:colOff>621703</xdr:colOff>
      <xdr:row>19</xdr:row>
      <xdr:rowOff>102199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1F81B-6D57-8BC1-7907-CDFBFE11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1820" y="2933700"/>
          <a:ext cx="2770543" cy="7117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441960</xdr:colOff>
      <xdr:row>11</xdr:row>
      <xdr:rowOff>104066</xdr:rowOff>
    </xdr:from>
    <xdr:to>
      <xdr:col>14</xdr:col>
      <xdr:colOff>762457</xdr:colOff>
      <xdr:row>14</xdr:row>
      <xdr:rowOff>117331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027A90-B20D-9AE0-4DD5-ED61503F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5160" y="2153846"/>
          <a:ext cx="2019757" cy="56952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430995</xdr:colOff>
      <xdr:row>30</xdr:row>
      <xdr:rowOff>99060</xdr:rowOff>
    </xdr:from>
    <xdr:to>
      <xdr:col>15</xdr:col>
      <xdr:colOff>284373</xdr:colOff>
      <xdr:row>32</xdr:row>
      <xdr:rowOff>121920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CB9236-C907-6EC4-A23D-C6E10C22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4195" y="5600700"/>
          <a:ext cx="2390838" cy="37338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441961</xdr:colOff>
      <xdr:row>25</xdr:row>
      <xdr:rowOff>53340</xdr:rowOff>
    </xdr:from>
    <xdr:to>
      <xdr:col>13</xdr:col>
      <xdr:colOff>838201</xdr:colOff>
      <xdr:row>29</xdr:row>
      <xdr:rowOff>17526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A49FD1C-6B54-5907-5566-EB4B09C2F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05161" y="4648200"/>
          <a:ext cx="1234440" cy="66522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13</xdr:row>
      <xdr:rowOff>83821</xdr:rowOff>
    </xdr:from>
    <xdr:to>
      <xdr:col>6</xdr:col>
      <xdr:colOff>1021184</xdr:colOff>
      <xdr:row>17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81357-A84E-2450-24FF-ECBF9664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2400301"/>
          <a:ext cx="3551024" cy="8686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Q30"/>
  <sheetViews>
    <sheetView showGridLines="0" workbookViewId="0">
      <selection activeCell="H18" sqref="H18"/>
    </sheetView>
  </sheetViews>
  <sheetFormatPr defaultRowHeight="13.8" x14ac:dyDescent="0.25"/>
  <cols>
    <col min="1" max="2" width="8.88671875" style="3"/>
    <col min="3" max="3" width="23.44140625" style="3" bestFit="1" customWidth="1"/>
    <col min="4" max="4" width="13.21875" style="3" bestFit="1" customWidth="1"/>
    <col min="5" max="5" width="12.21875" style="3" bestFit="1" customWidth="1"/>
    <col min="6" max="6" width="13.21875" style="3" bestFit="1" customWidth="1"/>
    <col min="7" max="7" width="12.21875" style="3" bestFit="1" customWidth="1"/>
    <col min="8" max="10" width="8.88671875" style="3"/>
    <col min="11" max="11" width="18.6640625" style="3" bestFit="1" customWidth="1"/>
    <col min="12" max="12" width="13.6640625" style="3" bestFit="1" customWidth="1"/>
    <col min="13" max="13" width="12.21875" style="3" bestFit="1" customWidth="1"/>
    <col min="14" max="14" width="12.5546875" style="3" bestFit="1" customWidth="1"/>
    <col min="15" max="15" width="12.21875" style="3" bestFit="1" customWidth="1"/>
    <col min="16" max="16" width="13.6640625" style="3" bestFit="1" customWidth="1"/>
    <col min="17" max="16384" width="8.88671875" style="3"/>
  </cols>
  <sheetData>
    <row r="2" spans="3:17" x14ac:dyDescent="0.25">
      <c r="C2" s="1" t="s">
        <v>0</v>
      </c>
      <c r="D2" s="2" t="s">
        <v>1</v>
      </c>
      <c r="E2" s="2" t="s">
        <v>2</v>
      </c>
      <c r="K2" s="4" t="s">
        <v>25</v>
      </c>
      <c r="L2" s="5" t="s">
        <v>1</v>
      </c>
      <c r="M2" s="5" t="s">
        <v>2</v>
      </c>
      <c r="N2" s="26"/>
      <c r="O2" s="26"/>
      <c r="P2" s="26"/>
    </row>
    <row r="3" spans="3:17" ht="16.2" customHeight="1" x14ac:dyDescent="0.25">
      <c r="C3" s="3" t="s">
        <v>3</v>
      </c>
      <c r="D3" s="6">
        <v>0.09</v>
      </c>
      <c r="E3" s="6">
        <v>0.09</v>
      </c>
      <c r="K3" s="37" t="s">
        <v>19</v>
      </c>
      <c r="L3" s="28">
        <f>D6*(1+D4)^(E7-D7)</f>
        <v>5229261.1755174948</v>
      </c>
      <c r="M3" s="28">
        <f>E6</f>
        <v>5000000</v>
      </c>
      <c r="N3" s="27"/>
      <c r="O3" s="27"/>
    </row>
    <row r="4" spans="3:17" x14ac:dyDescent="0.25">
      <c r="C4" s="3" t="s">
        <v>4</v>
      </c>
      <c r="D4" s="7">
        <f>D3/12</f>
        <v>7.4999999999999997E-3</v>
      </c>
      <c r="E4" s="7">
        <f>E3/12</f>
        <v>7.4999999999999997E-3</v>
      </c>
      <c r="K4" s="38"/>
      <c r="L4" s="29">
        <f>M3+L3</f>
        <v>10229261.175517496</v>
      </c>
      <c r="M4" s="1"/>
    </row>
    <row r="5" spans="3:17" x14ac:dyDescent="0.25">
      <c r="C5" s="3" t="s">
        <v>6</v>
      </c>
      <c r="D5" s="8">
        <v>37500</v>
      </c>
      <c r="E5" s="8">
        <v>37500</v>
      </c>
      <c r="K5" s="34"/>
    </row>
    <row r="6" spans="3:17" ht="16.2" customHeight="1" x14ac:dyDescent="0.25">
      <c r="C6" s="3" t="s">
        <v>5</v>
      </c>
      <c r="D6" s="9">
        <f>D5/D4</f>
        <v>5000000</v>
      </c>
      <c r="E6" s="9">
        <f>E5/E4</f>
        <v>5000000</v>
      </c>
      <c r="K6" s="39" t="s">
        <v>20</v>
      </c>
      <c r="L6" s="30">
        <f>FV(D14,($G$12-D12),0,D11)</f>
        <v>-1534089.4761512997</v>
      </c>
      <c r="M6" s="30">
        <f>FV(E14,($G$12-E12),0,E11)</f>
        <v>-1522641.0946297848</v>
      </c>
      <c r="N6" s="30">
        <f>FV(F14,($G$12-F12),0,F11)</f>
        <v>-1511278.1484374995</v>
      </c>
      <c r="O6" s="30">
        <f>FV(G14,($G$12-G12),0,G11)</f>
        <v>-1500000</v>
      </c>
    </row>
    <row r="7" spans="3:17" x14ac:dyDescent="0.25">
      <c r="C7" s="3" t="s">
        <v>26</v>
      </c>
      <c r="D7" s="3">
        <v>6</v>
      </c>
      <c r="E7" s="3">
        <v>12</v>
      </c>
      <c r="K7" s="38"/>
      <c r="L7" s="31">
        <f>SUM(L6:O6)</f>
        <v>-6068008.7192185838</v>
      </c>
      <c r="M7" s="32"/>
      <c r="N7" s="32"/>
      <c r="O7" s="32"/>
      <c r="P7" s="27"/>
    </row>
    <row r="8" spans="3:17" x14ac:dyDescent="0.25">
      <c r="C8" s="1" t="s">
        <v>11</v>
      </c>
      <c r="D8" s="10">
        <f>D6/(1+D4)^D7</f>
        <v>4780790.0888648899</v>
      </c>
      <c r="E8" s="10">
        <f>E6/(1+E4)^E7</f>
        <v>4571190.7747577522</v>
      </c>
      <c r="L8" s="27"/>
      <c r="M8" s="27"/>
      <c r="N8" s="27"/>
      <c r="O8" s="27"/>
      <c r="P8" s="27"/>
    </row>
    <row r="9" spans="3:17" ht="16.2" x14ac:dyDescent="0.35">
      <c r="C9" s="11" t="s">
        <v>23</v>
      </c>
      <c r="D9" s="12">
        <f>SUM(D8:E8)</f>
        <v>9351980.8636226431</v>
      </c>
      <c r="E9" s="13"/>
      <c r="K9" s="3" t="s">
        <v>21</v>
      </c>
      <c r="L9" s="33">
        <f>D4</f>
        <v>7.4999999999999997E-3</v>
      </c>
      <c r="M9" s="35">
        <f>(1+L9)^12-1</f>
        <v>9.3806897670984268E-2</v>
      </c>
      <c r="N9" s="27"/>
      <c r="O9" s="27"/>
      <c r="P9" s="27"/>
    </row>
    <row r="10" spans="3:17" ht="16.2" x14ac:dyDescent="0.35">
      <c r="K10" s="3" t="s">
        <v>22</v>
      </c>
      <c r="L10" s="33">
        <f>D14</f>
        <v>2.5000000000000001E-3</v>
      </c>
      <c r="M10" s="35">
        <f>(1+L10)^12-1</f>
        <v>3.0415956913506736E-2</v>
      </c>
      <c r="N10" s="27"/>
      <c r="O10" s="27"/>
      <c r="P10" s="27"/>
    </row>
    <row r="11" spans="3:17" x14ac:dyDescent="0.25">
      <c r="C11" s="3" t="s">
        <v>7</v>
      </c>
      <c r="D11" s="14">
        <v>1500000</v>
      </c>
      <c r="E11" s="14">
        <v>1500000</v>
      </c>
      <c r="F11" s="14">
        <v>1500000</v>
      </c>
      <c r="G11" s="14">
        <v>1500000</v>
      </c>
      <c r="K11" s="3" t="s">
        <v>18</v>
      </c>
      <c r="L11" s="3">
        <f>G21</f>
        <v>12</v>
      </c>
    </row>
    <row r="12" spans="3:17" x14ac:dyDescent="0.25">
      <c r="C12" s="3" t="s">
        <v>8</v>
      </c>
      <c r="D12" s="3">
        <v>3</v>
      </c>
      <c r="E12" s="3">
        <v>6</v>
      </c>
      <c r="F12" s="3">
        <v>9</v>
      </c>
      <c r="G12" s="3">
        <v>12</v>
      </c>
    </row>
    <row r="13" spans="3:17" ht="16.2" customHeight="1" x14ac:dyDescent="0.25">
      <c r="C13" s="3" t="s">
        <v>9</v>
      </c>
      <c r="D13" s="6">
        <v>0.03</v>
      </c>
      <c r="E13" s="6">
        <f>D13</f>
        <v>0.03</v>
      </c>
      <c r="F13" s="6">
        <f t="shared" ref="F13:G13" si="0">E13</f>
        <v>0.03</v>
      </c>
      <c r="G13" s="6">
        <f t="shared" si="0"/>
        <v>0.03</v>
      </c>
      <c r="K13" s="40" t="s">
        <v>28</v>
      </c>
      <c r="L13" s="7">
        <f>((L4+L7)/(D9-D16))^(1/L11)-1</f>
        <v>1.5422323258514448E-2</v>
      </c>
      <c r="N13" s="22"/>
      <c r="P13" s="25"/>
      <c r="Q13" s="25"/>
    </row>
    <row r="14" spans="3:17" x14ac:dyDescent="0.25">
      <c r="C14" s="3" t="s">
        <v>10</v>
      </c>
      <c r="D14" s="15">
        <f>D13/12</f>
        <v>2.5000000000000001E-3</v>
      </c>
      <c r="E14" s="15">
        <f t="shared" ref="E14:G14" si="1">E13/12</f>
        <v>2.5000000000000001E-3</v>
      </c>
      <c r="F14" s="15">
        <f t="shared" si="1"/>
        <v>2.5000000000000001E-3</v>
      </c>
      <c r="G14" s="15">
        <f t="shared" si="1"/>
        <v>2.5000000000000001E-3</v>
      </c>
      <c r="K14" s="40"/>
      <c r="L14" s="41">
        <f>(1+L13)^12-1</f>
        <v>0.20160155460334339</v>
      </c>
    </row>
    <row r="15" spans="3:17" x14ac:dyDescent="0.25">
      <c r="C15" s="1" t="s">
        <v>11</v>
      </c>
      <c r="D15" s="16">
        <f>D11/(1+D14)^D12</f>
        <v>1488806.0165008407</v>
      </c>
      <c r="E15" s="16">
        <f t="shared" ref="E15:G15" si="2">E11/(1+E14)^E12</f>
        <v>1477695.5698460676</v>
      </c>
      <c r="F15" s="16">
        <f t="shared" si="2"/>
        <v>1466668.0366289753</v>
      </c>
      <c r="G15" s="16">
        <f t="shared" si="2"/>
        <v>1455722.7980951292</v>
      </c>
    </row>
    <row r="16" spans="3:17" ht="16.2" x14ac:dyDescent="0.35">
      <c r="C16" s="11" t="s">
        <v>24</v>
      </c>
      <c r="D16" s="17">
        <f>SUM(D15:G15)</f>
        <v>5888892.4210710134</v>
      </c>
      <c r="E16" s="13"/>
      <c r="F16" s="13"/>
      <c r="G16" s="13"/>
    </row>
    <row r="18" spans="3:13" ht="16.2" x14ac:dyDescent="0.35">
      <c r="C18" s="18" t="s">
        <v>12</v>
      </c>
      <c r="D18" s="19">
        <f>D9-D16</f>
        <v>3463088.4425516296</v>
      </c>
      <c r="K18" s="18" t="s">
        <v>28</v>
      </c>
      <c r="L18" s="41">
        <f>(L4+L7)/(L4/(1+L9)^L11+L7/(1+L10)^L11)-1</f>
        <v>0.20160155460334339</v>
      </c>
    </row>
    <row r="20" spans="3:13" x14ac:dyDescent="0.25">
      <c r="C20" s="3" t="s">
        <v>14</v>
      </c>
      <c r="D20" s="9">
        <f>-D11</f>
        <v>-1500000</v>
      </c>
      <c r="E20" s="20">
        <f>E6-E11</f>
        <v>3500000</v>
      </c>
      <c r="F20" s="9">
        <f>-F11</f>
        <v>-1500000</v>
      </c>
      <c r="G20" s="20">
        <f>E6-G11</f>
        <v>3500000</v>
      </c>
    </row>
    <row r="21" spans="3:13" x14ac:dyDescent="0.25">
      <c r="C21" s="3" t="s">
        <v>15</v>
      </c>
      <c r="D21" s="3">
        <f>D12</f>
        <v>3</v>
      </c>
      <c r="E21" s="3">
        <f t="shared" ref="E21:G21" si="3">E12</f>
        <v>6</v>
      </c>
      <c r="F21" s="3">
        <f t="shared" si="3"/>
        <v>9</v>
      </c>
      <c r="G21" s="3">
        <f t="shared" si="3"/>
        <v>12</v>
      </c>
    </row>
    <row r="22" spans="3:13" x14ac:dyDescent="0.25">
      <c r="C22" s="3" t="s">
        <v>17</v>
      </c>
      <c r="D22" s="21">
        <v>1.287069356625579E-2</v>
      </c>
      <c r="E22" s="15">
        <f>D22</f>
        <v>1.287069356625579E-2</v>
      </c>
      <c r="F22" s="15">
        <f t="shared" ref="F22:G22" si="4">E22</f>
        <v>1.287069356625579E-2</v>
      </c>
      <c r="G22" s="15">
        <f t="shared" si="4"/>
        <v>1.287069356625579E-2</v>
      </c>
    </row>
    <row r="23" spans="3:13" x14ac:dyDescent="0.25">
      <c r="C23" s="3" t="s">
        <v>11</v>
      </c>
      <c r="D23" s="22">
        <f>D20/(1+D22)^D21</f>
        <v>-1443541.3968502872</v>
      </c>
      <c r="E23" s="22">
        <f t="shared" ref="E23:G23" si="5">E20/(1+E22)^E21</f>
        <v>3241484.9668763001</v>
      </c>
      <c r="F23" s="22">
        <f t="shared" si="5"/>
        <v>-1336919.3534153779</v>
      </c>
      <c r="G23" s="22">
        <f t="shared" si="5"/>
        <v>3002064.2258528718</v>
      </c>
    </row>
    <row r="24" spans="3:13" x14ac:dyDescent="0.25">
      <c r="C24" s="3" t="s">
        <v>12</v>
      </c>
      <c r="D24" s="22">
        <f>SUM(D23:G23)</f>
        <v>3463088.4424635069</v>
      </c>
      <c r="M24" s="25"/>
    </row>
    <row r="26" spans="3:13" x14ac:dyDescent="0.25">
      <c r="C26" s="3" t="s">
        <v>16</v>
      </c>
      <c r="D26" s="23">
        <f>D18-D24</f>
        <v>8.8122673332691193E-5</v>
      </c>
    </row>
    <row r="27" spans="3:13" x14ac:dyDescent="0.25">
      <c r="K27" s="22"/>
    </row>
    <row r="28" spans="3:13" x14ac:dyDescent="0.25">
      <c r="C28" s="11" t="s">
        <v>13</v>
      </c>
      <c r="D28" s="24">
        <f>(1+D22)^12-1</f>
        <v>0.16586446414405653</v>
      </c>
      <c r="K28" s="4" t="s">
        <v>27</v>
      </c>
      <c r="L28" s="43">
        <f>D9/(D9-D16)</f>
        <v>2.7004741630947295</v>
      </c>
    </row>
    <row r="29" spans="3:13" x14ac:dyDescent="0.25">
      <c r="D29" s="25">
        <f>EFFECT(D22*12,12)</f>
        <v>0.16586446414405653</v>
      </c>
    </row>
    <row r="30" spans="3:13" ht="16.2" x14ac:dyDescent="0.35">
      <c r="K30" s="4" t="s">
        <v>28</v>
      </c>
      <c r="L30" s="42">
        <f>M10+(L28*(M9-M10))</f>
        <v>0.20160155460334345</v>
      </c>
    </row>
  </sheetData>
  <mergeCells count="3">
    <mergeCell ref="K3:K4"/>
    <mergeCell ref="K6:K7"/>
    <mergeCell ref="K13:K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9AA7-4457-47EB-8C3E-8BCA7D0C07AB}">
  <dimension ref="B1:H20"/>
  <sheetViews>
    <sheetView showGridLines="0" tabSelected="1" workbookViewId="0">
      <selection activeCell="H16" sqref="H16"/>
    </sheetView>
  </sheetViews>
  <sheetFormatPr defaultRowHeight="13.8" x14ac:dyDescent="0.25"/>
  <cols>
    <col min="1" max="1" width="8.88671875" style="3"/>
    <col min="2" max="2" width="34.5546875" style="3" customWidth="1"/>
    <col min="3" max="5" width="15.21875" style="3" customWidth="1"/>
    <col min="6" max="6" width="8.88671875" style="3"/>
    <col min="7" max="7" width="33.33203125" style="3" bestFit="1" customWidth="1"/>
    <col min="8" max="8" width="11.44140625" style="3" bestFit="1" customWidth="1"/>
    <col min="9" max="9" width="16.21875" style="3" bestFit="1" customWidth="1"/>
    <col min="10" max="10" width="13.33203125" style="3" bestFit="1" customWidth="1"/>
    <col min="11" max="16384" width="8.88671875" style="3"/>
  </cols>
  <sheetData>
    <row r="1" spans="2:8" ht="14.4" thickBot="1" x14ac:dyDescent="0.3"/>
    <row r="2" spans="2:8" x14ac:dyDescent="0.25">
      <c r="B2" s="61"/>
      <c r="C2" s="62"/>
      <c r="D2" s="63" t="s">
        <v>29</v>
      </c>
      <c r="E2" s="64" t="s">
        <v>30</v>
      </c>
      <c r="G2" s="3" t="s">
        <v>44</v>
      </c>
      <c r="H2" s="7">
        <f>(E4-D4)/C12</f>
        <v>0.21385708727779454</v>
      </c>
    </row>
    <row r="3" spans="2:8" x14ac:dyDescent="0.25">
      <c r="B3" s="46" t="s">
        <v>32</v>
      </c>
      <c r="C3" s="54">
        <v>1</v>
      </c>
      <c r="D3" s="47">
        <v>0.5</v>
      </c>
      <c r="E3" s="48">
        <f>1-D3</f>
        <v>0.5</v>
      </c>
      <c r="G3" s="1" t="s">
        <v>45</v>
      </c>
      <c r="H3" s="73">
        <f>(E6-D6)/C18</f>
        <v>0.57752455407515402</v>
      </c>
    </row>
    <row r="4" spans="2:8" x14ac:dyDescent="0.25">
      <c r="B4" s="46" t="s">
        <v>34</v>
      </c>
      <c r="C4" s="55">
        <f>'OCC of Development'!L4/1000</f>
        <v>10229.261175517495</v>
      </c>
      <c r="D4" s="65">
        <f>C4-1000</f>
        <v>9229.2611755174948</v>
      </c>
      <c r="E4" s="66">
        <f>C4+1000</f>
        <v>11229.261175517495</v>
      </c>
      <c r="G4" s="18" t="s">
        <v>46</v>
      </c>
      <c r="H4" s="76">
        <f>H3/H2</f>
        <v>2.7005163187552692</v>
      </c>
    </row>
    <row r="5" spans="2:8" x14ac:dyDescent="0.25">
      <c r="B5" s="46" t="s">
        <v>35</v>
      </c>
      <c r="C5" s="55">
        <f>-'OCC of Development'!L7/1000</f>
        <v>6068.0087192185838</v>
      </c>
      <c r="D5" s="65">
        <f>-'OCC of Development'!L7/1000</f>
        <v>6068.0087192185838</v>
      </c>
      <c r="E5" s="66">
        <f>D5</f>
        <v>6068.0087192185838</v>
      </c>
    </row>
    <row r="6" spans="2:8" x14ac:dyDescent="0.25">
      <c r="B6" s="50" t="s">
        <v>38</v>
      </c>
      <c r="C6" s="56">
        <f>C4-C5</f>
        <v>4161.2524562989111</v>
      </c>
      <c r="D6" s="51">
        <f>D4-D5</f>
        <v>3161.2524562989111</v>
      </c>
      <c r="E6" s="52">
        <f>E4-E5</f>
        <v>5161.2524562989111</v>
      </c>
      <c r="G6" s="3" t="s">
        <v>49</v>
      </c>
      <c r="H6" s="15">
        <f>C11-C10</f>
        <v>6.3399999999999998E-2</v>
      </c>
    </row>
    <row r="7" spans="2:8" ht="14.4" thickBot="1" x14ac:dyDescent="0.3">
      <c r="B7" s="57" t="s">
        <v>36</v>
      </c>
      <c r="C7" s="58">
        <f>C6</f>
        <v>4161.2524562989111</v>
      </c>
      <c r="D7" s="59">
        <f>D6*D3+E6*E3</f>
        <v>4161.2524562989111</v>
      </c>
      <c r="E7" s="60"/>
      <c r="G7" s="1" t="s">
        <v>48</v>
      </c>
      <c r="H7" s="36">
        <f>C20-C10</f>
        <v>0.1712127346090839</v>
      </c>
    </row>
    <row r="8" spans="2:8" ht="14.4" thickBot="1" x14ac:dyDescent="0.3">
      <c r="G8" s="18" t="s">
        <v>46</v>
      </c>
      <c r="H8" s="76">
        <f>H7/H6</f>
        <v>2.7005163187552665</v>
      </c>
    </row>
    <row r="9" spans="2:8" x14ac:dyDescent="0.25">
      <c r="B9" s="44"/>
      <c r="C9" s="45"/>
    </row>
    <row r="10" spans="2:8" x14ac:dyDescent="0.25">
      <c r="B10" s="53" t="s">
        <v>31</v>
      </c>
      <c r="C10" s="67">
        <v>3.04E-2</v>
      </c>
    </row>
    <row r="11" spans="2:8" x14ac:dyDescent="0.25">
      <c r="B11" s="49" t="s">
        <v>33</v>
      </c>
      <c r="C11" s="67">
        <v>9.3799999999999994E-2</v>
      </c>
    </row>
    <row r="12" spans="2:8" ht="14.4" thickBot="1" x14ac:dyDescent="0.3">
      <c r="B12" s="70" t="s">
        <v>39</v>
      </c>
      <c r="C12" s="68">
        <f>(D4*D3+E4*E3)/(1+C11)</f>
        <v>9352.0398386519428</v>
      </c>
    </row>
    <row r="13" spans="2:8" ht="14.4" thickBot="1" x14ac:dyDescent="0.3"/>
    <row r="14" spans="2:8" x14ac:dyDescent="0.25">
      <c r="B14" s="44" t="s">
        <v>37</v>
      </c>
      <c r="C14" s="45"/>
    </row>
    <row r="15" spans="2:8" ht="16.2" x14ac:dyDescent="0.25">
      <c r="B15" s="71" t="s">
        <v>40</v>
      </c>
      <c r="C15" s="69">
        <f>D7</f>
        <v>4161.2524562989111</v>
      </c>
    </row>
    <row r="16" spans="2:8" ht="16.2" x14ac:dyDescent="0.25">
      <c r="B16" s="71" t="s">
        <v>41</v>
      </c>
      <c r="C16" s="69">
        <f>E6</f>
        <v>5161.2524562989111</v>
      </c>
    </row>
    <row r="17" spans="2:3" ht="16.2" x14ac:dyDescent="0.25">
      <c r="B17" s="71" t="s">
        <v>42</v>
      </c>
      <c r="C17" s="69">
        <f>D6</f>
        <v>3161.2524562989111</v>
      </c>
    </row>
    <row r="18" spans="2:3" ht="16.8" thickBot="1" x14ac:dyDescent="0.3">
      <c r="B18" s="72" t="s">
        <v>43</v>
      </c>
      <c r="C18" s="68">
        <f>(C15-(C16-C17)*(C11-C10)/((E4-D4)/C12))/(1+C10)</f>
        <v>3463.0562213978828</v>
      </c>
    </row>
    <row r="19" spans="2:3" ht="14.4" thickBot="1" x14ac:dyDescent="0.3"/>
    <row r="20" spans="2:3" ht="14.4" thickBot="1" x14ac:dyDescent="0.3">
      <c r="B20" s="74" t="s">
        <v>47</v>
      </c>
      <c r="C20" s="75">
        <f>C15/C18-1</f>
        <v>0.20161273460908391</v>
      </c>
    </row>
  </sheetData>
  <mergeCells count="1">
    <mergeCell ref="D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OCC of Development</vt:lpstr>
      <vt:lpstr>Option 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2025-05-26T13:07:14Z</dcterms:modified>
</cp:coreProperties>
</file>