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89870f9c02b3cf52/Desktop/"/>
    </mc:Choice>
  </mc:AlternateContent>
  <xr:revisionPtr revIDLastSave="512" documentId="11_F25DC773A252ABDACC1048D7991B778C5ADE58EC" xr6:coauthVersionLast="47" xr6:coauthVersionMax="47" xr10:uidLastSave="{389637CE-60C6-42E2-8A66-ACC12D49D06A}"/>
  <bookViews>
    <workbookView xWindow="-108" yWindow="-108" windowWidth="23256" windowHeight="12456" xr2:uid="{00000000-000D-0000-FFFF-FFFF00000000}"/>
  </bookViews>
  <sheets>
    <sheet name="Land &amp; Op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J24" i="1"/>
  <c r="H27" i="1"/>
  <c r="H11" i="1"/>
  <c r="H26" i="1"/>
  <c r="H24" i="1"/>
  <c r="J26" i="1"/>
  <c r="H16" i="1"/>
  <c r="D13" i="1"/>
  <c r="H14" i="1"/>
  <c r="J11" i="1"/>
  <c r="I11" i="1"/>
  <c r="H13" i="1"/>
  <c r="H6" i="1"/>
  <c r="H22" i="1"/>
  <c r="J13" i="1"/>
  <c r="I13" i="1"/>
  <c r="J10" i="1"/>
  <c r="I10" i="1"/>
  <c r="C15" i="1"/>
  <c r="C13" i="1"/>
  <c r="E8" i="1"/>
  <c r="D8" i="1"/>
  <c r="C8" i="1"/>
  <c r="E5" i="1"/>
  <c r="E10" i="1"/>
  <c r="H12" i="1"/>
  <c r="C24" i="1"/>
  <c r="J12" i="1"/>
  <c r="D11" i="1" l="1"/>
  <c r="H17" i="1"/>
  <c r="H18" i="1" s="1"/>
  <c r="C23" i="1"/>
  <c r="I12" i="1"/>
  <c r="D15" i="1" l="1"/>
  <c r="C22" i="1"/>
  <c r="C25" i="1" s="1"/>
  <c r="C17" i="1"/>
  <c r="C18" i="1"/>
  <c r="H28" i="1" l="1"/>
</calcChain>
</file>

<file path=xl/sharedStrings.xml><?xml version="1.0" encoding="utf-8"?>
<sst xmlns="http://schemas.openxmlformats.org/spreadsheetml/2006/main" count="56" uniqueCount="54">
  <si>
    <t>Table: Real Estate Development Value Analysis (in $ millions)</t>
  </si>
  <si>
    <t>Today</t>
  </si>
  <si>
    <t>Probability</t>
  </si>
  <si>
    <t>Value of developed property</t>
  </si>
  <si>
    <t>NPV of exercise</t>
  </si>
  <si>
    <t>Expected value of built property</t>
  </si>
  <si>
    <t>(Probability × Outcome)</t>
  </si>
  <si>
    <t>Expected value of option</t>
  </si>
  <si>
    <t>Next Year (A)</t>
  </si>
  <si>
    <t>Next Year (B)</t>
  </si>
  <si>
    <t>Construction cost (excl. land cost)</t>
  </si>
  <si>
    <t>Future values</t>
  </si>
  <si>
    <t>Actions</t>
  </si>
  <si>
    <t>Build</t>
  </si>
  <si>
    <t>Don’t build</t>
  </si>
  <si>
    <t>0.3 × 0 + 0.7 × 23.21</t>
  </si>
  <si>
    <t>0.3 × 78.62 + 0.7 × 113.21</t>
  </si>
  <si>
    <t>1.0 × 100</t>
  </si>
  <si>
    <t>16.25 / 1.20</t>
  </si>
  <si>
    <t xml:space="preserve">Land Value Today = MAX(11.76, 13.54) </t>
  </si>
  <si>
    <t>Option Premium = $13.54 − $11.76</t>
  </si>
  <si>
    <r>
      <t xml:space="preserve">PV (today) of alternatives @ </t>
    </r>
    <r>
      <rPr>
        <b/>
        <sz val="11"/>
        <color rgb="FFFF0000"/>
        <rFont val="Cambria"/>
        <family val="1"/>
        <charset val="204"/>
      </rPr>
      <t>20%</t>
    </r>
    <r>
      <rPr>
        <b/>
        <sz val="11"/>
        <color theme="1"/>
        <rFont val="Cambria"/>
        <family val="1"/>
        <charset val="204"/>
      </rPr>
      <t xml:space="preserve"> discount</t>
    </r>
  </si>
  <si>
    <t>Table: Option Valuation Using Replication (in $ millions)</t>
  </si>
  <si>
    <t>Next Year (Up)</t>
  </si>
  <si>
    <t>Development Option Value</t>
  </si>
  <si>
    <t>Built Property Value</t>
  </si>
  <si>
    <t>Bond Value</t>
  </si>
  <si>
    <t>Replicating Portfolio</t>
  </si>
  <si>
    <t>Next Year  (Down)</t>
  </si>
  <si>
    <t>Risk Free Rate</t>
  </si>
  <si>
    <t>Option Delta</t>
  </si>
  <si>
    <r>
      <t>PV(C</t>
    </r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)=P</t>
    </r>
    <r>
      <rPr>
        <vertAlign val="subscript"/>
        <sz val="11"/>
        <color theme="1"/>
        <rFont val="Calibri"/>
        <family val="2"/>
        <charset val="204"/>
        <scheme val="minor"/>
      </rPr>
      <t>0</t>
    </r>
  </si>
  <si>
    <t>Proper Discount Rate</t>
  </si>
  <si>
    <r>
      <t>C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</si>
  <si>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Step 1</t>
  </si>
  <si>
    <t>Step 2</t>
  </si>
  <si>
    <t>Land Value Today</t>
  </si>
  <si>
    <t xml:space="preserve">Option Premium </t>
  </si>
  <si>
    <r>
      <t>E</t>
    </r>
    <r>
      <rPr>
        <vertAlign val="subscript"/>
        <sz val="11"/>
        <color theme="1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charset val="204"/>
        <scheme val="minor"/>
      </rPr>
      <t>[C</t>
    </r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]</t>
    </r>
  </si>
  <si>
    <t>Dev. Risk Adjusted Rate</t>
  </si>
  <si>
    <r>
      <t>[C</t>
    </r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]up</t>
    </r>
  </si>
  <si>
    <r>
      <t>[C</t>
    </r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]down</t>
    </r>
  </si>
  <si>
    <r>
      <t>PV(C</t>
    </r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)</t>
    </r>
  </si>
  <si>
    <t>Risk Free World Method</t>
  </si>
  <si>
    <t>Step 3</t>
  </si>
  <si>
    <t>Step 4</t>
  </si>
  <si>
    <t>Understanding Risk Premiums</t>
  </si>
  <si>
    <t>Development Risk Premium</t>
  </si>
  <si>
    <t>Option Risk Premium</t>
  </si>
  <si>
    <t>Development Outcome Spread</t>
  </si>
  <si>
    <t>Option Outcome Spread</t>
  </si>
  <si>
    <t>Ratio of Risk Premuims</t>
  </si>
  <si>
    <t>Ratio of Outcome Spreads</t>
  </si>
  <si>
    <t>1% Premium Per 16.4 %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</si>
</sst>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</font>
    <font>
      <b/>
      <sz val="13.5"/>
      <color theme="1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sz val="11"/>
      <color rgb="FFFF0000"/>
      <name val="Cambria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9" fontId="4" fillId="0" borderId="2" xfId="0" applyNumberFormat="1" applyFont="1" applyBorder="1" applyAlignment="1">
      <alignment vertical="center" wrapText="1"/>
    </xf>
    <xf numFmtId="8" fontId="4" fillId="0" borderId="2" xfId="0" applyNumberFormat="1" applyFont="1" applyBorder="1" applyAlignment="1">
      <alignment vertical="center" wrapText="1"/>
    </xf>
    <xf numFmtId="8" fontId="6" fillId="0" borderId="2" xfId="0" applyNumberFormat="1" applyFont="1" applyBorder="1" applyAlignment="1">
      <alignment vertical="center" wrapText="1"/>
    </xf>
    <xf numFmtId="44" fontId="4" fillId="0" borderId="2" xfId="2" applyFont="1" applyBorder="1" applyAlignment="1">
      <alignment vertical="center" wrapText="1"/>
    </xf>
    <xf numFmtId="0" fontId="4" fillId="0" borderId="2" xfId="0" applyFont="1" applyBorder="1" applyAlignment="1">
      <alignment horizontal="right" wrapText="1"/>
    </xf>
    <xf numFmtId="0" fontId="4" fillId="0" borderId="2" xfId="0" applyFont="1" applyBorder="1"/>
    <xf numFmtId="0" fontId="4" fillId="0" borderId="1" xfId="0" applyFont="1" applyBorder="1"/>
    <xf numFmtId="0" fontId="4" fillId="0" borderId="5" xfId="0" applyFont="1" applyBorder="1" applyAlignment="1">
      <alignment vertical="center" wrapText="1"/>
    </xf>
    <xf numFmtId="9" fontId="4" fillId="0" borderId="0" xfId="0" applyNumberFormat="1" applyFont="1" applyAlignment="1">
      <alignment vertical="center" wrapText="1"/>
    </xf>
    <xf numFmtId="9" fontId="4" fillId="0" borderId="6" xfId="0" applyNumberFormat="1" applyFont="1" applyBorder="1" applyAlignment="1">
      <alignment vertical="center" wrapText="1"/>
    </xf>
    <xf numFmtId="8" fontId="4" fillId="0" borderId="0" xfId="0" applyNumberFormat="1" applyFont="1" applyAlignment="1">
      <alignment vertical="center" wrapText="1"/>
    </xf>
    <xf numFmtId="8" fontId="4" fillId="0" borderId="6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8" fontId="6" fillId="0" borderId="0" xfId="0" applyNumberFormat="1" applyFont="1" applyAlignment="1">
      <alignment vertical="center" wrapText="1"/>
    </xf>
    <xf numFmtId="8" fontId="6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right" wrapText="1"/>
    </xf>
    <xf numFmtId="0" fontId="4" fillId="0" borderId="10" xfId="0" applyFont="1" applyBorder="1"/>
    <xf numFmtId="0" fontId="4" fillId="0" borderId="11" xfId="0" applyFont="1" applyBorder="1"/>
    <xf numFmtId="0" fontId="4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44" fontId="4" fillId="0" borderId="0" xfId="2" applyFont="1" applyBorder="1" applyAlignment="1">
      <alignment vertical="center" wrapText="1"/>
    </xf>
    <xf numFmtId="0" fontId="4" fillId="2" borderId="13" xfId="0" applyFont="1" applyFill="1" applyBorder="1"/>
    <xf numFmtId="0" fontId="6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8" fontId="4" fillId="0" borderId="0" xfId="0" applyNumberFormat="1" applyFont="1"/>
    <xf numFmtId="0" fontId="4" fillId="0" borderId="6" xfId="0" applyFont="1" applyBorder="1"/>
    <xf numFmtId="0" fontId="4" fillId="0" borderId="10" xfId="0" applyFont="1" applyBorder="1" applyAlignment="1">
      <alignment vertical="center"/>
    </xf>
    <xf numFmtId="8" fontId="4" fillId="0" borderId="11" xfId="0" applyNumberFormat="1" applyFont="1" applyBorder="1"/>
    <xf numFmtId="0" fontId="4" fillId="0" borderId="12" xfId="0" applyFont="1" applyBorder="1"/>
    <xf numFmtId="0" fontId="8" fillId="0" borderId="5" xfId="0" applyFont="1" applyBorder="1" applyAlignment="1">
      <alignment horizontal="left" vertical="center" wrapText="1"/>
    </xf>
    <xf numFmtId="9" fontId="4" fillId="0" borderId="0" xfId="0" applyNumberFormat="1" applyFont="1"/>
    <xf numFmtId="0" fontId="6" fillId="0" borderId="5" xfId="0" applyFont="1" applyBorder="1"/>
    <xf numFmtId="43" fontId="4" fillId="0" borderId="0" xfId="1" applyFont="1" applyBorder="1"/>
    <xf numFmtId="44" fontId="4" fillId="0" borderId="0" xfId="2" applyFont="1" applyBorder="1"/>
    <xf numFmtId="0" fontId="4" fillId="0" borderId="5" xfId="0" applyFont="1" applyBorder="1"/>
    <xf numFmtId="0" fontId="4" fillId="2" borderId="5" xfId="0" applyFont="1" applyFill="1" applyBorder="1"/>
    <xf numFmtId="0" fontId="8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8" fontId="4" fillId="0" borderId="6" xfId="0" applyNumberFormat="1" applyFont="1" applyBorder="1"/>
    <xf numFmtId="0" fontId="3" fillId="0" borderId="5" xfId="0" applyFont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0" fontId="4" fillId="2" borderId="14" xfId="0" applyFont="1" applyFill="1" applyBorder="1"/>
    <xf numFmtId="0" fontId="4" fillId="2" borderId="15" xfId="0" applyFont="1" applyFill="1" applyBorder="1"/>
    <xf numFmtId="0" fontId="2" fillId="0" borderId="7" xfId="0" applyFont="1" applyBorder="1" applyAlignment="1">
      <alignment vertical="center"/>
    </xf>
    <xf numFmtId="44" fontId="4" fillId="0" borderId="0" xfId="0" applyNumberFormat="1" applyFont="1"/>
    <xf numFmtId="10" fontId="4" fillId="0" borderId="0" xfId="0" applyNumberFormat="1" applyFont="1"/>
    <xf numFmtId="0" fontId="6" fillId="2" borderId="5" xfId="0" applyFont="1" applyFill="1" applyBorder="1"/>
    <xf numFmtId="43" fontId="6" fillId="2" borderId="0" xfId="1" applyFont="1" applyFill="1" applyBorder="1"/>
    <xf numFmtId="164" fontId="4" fillId="0" borderId="0" xfId="3" applyNumberFormat="1" applyFont="1" applyBorder="1"/>
    <xf numFmtId="0" fontId="6" fillId="2" borderId="10" xfId="0" applyFont="1" applyFill="1" applyBorder="1"/>
    <xf numFmtId="43" fontId="6" fillId="2" borderId="11" xfId="1" applyFont="1" applyFill="1" applyBorder="1"/>
    <xf numFmtId="0" fontId="4" fillId="0" borderId="4" xfId="0" applyFont="1" applyBorder="1"/>
    <xf numFmtId="0" fontId="8" fillId="2" borderId="2" xfId="0" applyFont="1" applyFill="1" applyBorder="1" applyAlignment="1">
      <alignment horizontal="center" vertical="center" wrapText="1"/>
    </xf>
    <xf numFmtId="8" fontId="4" fillId="0" borderId="2" xfId="0" applyNumberFormat="1" applyFont="1" applyBorder="1"/>
    <xf numFmtId="0" fontId="4" fillId="0" borderId="3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8" fontId="4" fillId="0" borderId="16" xfId="0" applyNumberFormat="1" applyFont="1" applyBorder="1"/>
    <xf numFmtId="44" fontId="4" fillId="0" borderId="2" xfId="0" applyNumberFormat="1" applyFont="1" applyBorder="1"/>
    <xf numFmtId="164" fontId="4" fillId="3" borderId="6" xfId="0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3" borderId="0" xfId="0" applyFont="1" applyFill="1" applyAlignment="1">
      <alignment horizontal="right"/>
    </xf>
    <xf numFmtId="0" fontId="4" fillId="3" borderId="6" xfId="0" applyFont="1" applyFill="1" applyBorder="1" applyAlignment="1">
      <alignment horizontal="right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8" fontId="6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6" fillId="0" borderId="6" xfId="0" applyNumberFormat="1" applyFont="1" applyBorder="1" applyAlignment="1">
      <alignment horizontal="center" vertical="center" wrapText="1"/>
    </xf>
    <xf numFmtId="10" fontId="4" fillId="0" borderId="1" xfId="3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17112</xdr:colOff>
      <xdr:row>25</xdr:row>
      <xdr:rowOff>2145</xdr:rowOff>
    </xdr:from>
    <xdr:to>
      <xdr:col>4</xdr:col>
      <xdr:colOff>914400</xdr:colOff>
      <xdr:row>27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18419A-CA6B-E43E-60B3-B09CA4A55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9492" y="4863705"/>
          <a:ext cx="1941228" cy="4398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8"/>
  <sheetViews>
    <sheetView showGridLines="0" tabSelected="1" topLeftCell="A10" workbookViewId="0">
      <selection activeCell="H24" sqref="H24"/>
    </sheetView>
  </sheetViews>
  <sheetFormatPr defaultRowHeight="13.8" x14ac:dyDescent="0.25"/>
  <cols>
    <col min="1" max="1" width="8.88671875" style="1"/>
    <col min="2" max="2" width="34.5546875" style="1" customWidth="1"/>
    <col min="3" max="5" width="15.21875" style="1" customWidth="1"/>
    <col min="6" max="6" width="8.88671875" style="1"/>
    <col min="7" max="7" width="33.33203125" style="1" bestFit="1" customWidth="1"/>
    <col min="8" max="8" width="9.44140625" style="1" customWidth="1"/>
    <col min="9" max="9" width="16.21875" style="1" bestFit="1" customWidth="1"/>
    <col min="10" max="10" width="14.5546875" style="1" bestFit="1" customWidth="1"/>
    <col min="11" max="16384" width="8.88671875" style="1"/>
  </cols>
  <sheetData>
    <row r="1" spans="2:10" ht="14.4" thickBot="1" x14ac:dyDescent="0.3"/>
    <row r="2" spans="2:10" x14ac:dyDescent="0.25">
      <c r="B2" s="23" t="s">
        <v>34</v>
      </c>
      <c r="C2" s="46"/>
      <c r="D2" s="46"/>
      <c r="E2" s="47"/>
      <c r="G2" s="23" t="s">
        <v>35</v>
      </c>
      <c r="H2" s="46"/>
      <c r="I2" s="46"/>
      <c r="J2" s="47"/>
    </row>
    <row r="3" spans="2:10" ht="18" x14ac:dyDescent="0.25">
      <c r="B3" s="74" t="s">
        <v>0</v>
      </c>
      <c r="C3" s="75"/>
      <c r="D3" s="75"/>
      <c r="E3" s="76"/>
      <c r="G3" s="69" t="s">
        <v>22</v>
      </c>
      <c r="H3" s="70"/>
      <c r="I3" s="70"/>
      <c r="J3" s="71"/>
    </row>
    <row r="4" spans="2:10" ht="14.4" x14ac:dyDescent="0.25">
      <c r="B4" s="24"/>
      <c r="C4" s="21" t="s">
        <v>1</v>
      </c>
      <c r="D4" s="60" t="s">
        <v>8</v>
      </c>
      <c r="E4" s="61" t="s">
        <v>9</v>
      </c>
      <c r="G4" s="31" t="s">
        <v>29</v>
      </c>
      <c r="H4" s="32">
        <v>0.03</v>
      </c>
      <c r="I4" s="56"/>
      <c r="J4" s="27"/>
    </row>
    <row r="5" spans="2:10" x14ac:dyDescent="0.25">
      <c r="B5" s="9" t="s">
        <v>2</v>
      </c>
      <c r="C5" s="10">
        <v>1</v>
      </c>
      <c r="D5" s="2">
        <v>0.3</v>
      </c>
      <c r="E5" s="11">
        <f>1-D5</f>
        <v>0.7</v>
      </c>
      <c r="G5" s="33" t="s">
        <v>39</v>
      </c>
      <c r="H5" s="32">
        <v>0.09</v>
      </c>
      <c r="I5" s="7"/>
      <c r="J5" s="27"/>
    </row>
    <row r="6" spans="2:10" x14ac:dyDescent="0.25">
      <c r="B6" s="9" t="s">
        <v>3</v>
      </c>
      <c r="C6" s="12">
        <v>100</v>
      </c>
      <c r="D6" s="3">
        <v>78.62</v>
      </c>
      <c r="E6" s="13">
        <v>113.21</v>
      </c>
      <c r="G6" s="33" t="s">
        <v>30</v>
      </c>
      <c r="H6" s="34">
        <f>(E10-D10)/(E6-D6)</f>
        <v>0.67100318010985838</v>
      </c>
      <c r="I6" s="7"/>
      <c r="J6" s="27"/>
    </row>
    <row r="7" spans="2:10" x14ac:dyDescent="0.25">
      <c r="B7" s="9" t="s">
        <v>10</v>
      </c>
      <c r="C7" s="12">
        <v>88.24</v>
      </c>
      <c r="D7" s="3">
        <v>90</v>
      </c>
      <c r="E7" s="13">
        <v>90</v>
      </c>
      <c r="G7" s="33" t="s">
        <v>26</v>
      </c>
      <c r="H7" s="35">
        <v>51.217737883725299</v>
      </c>
      <c r="I7" s="7"/>
      <c r="J7" s="27"/>
    </row>
    <row r="8" spans="2:10" x14ac:dyDescent="0.25">
      <c r="B8" s="14" t="s">
        <v>4</v>
      </c>
      <c r="C8" s="15">
        <f>C6-C7</f>
        <v>11.760000000000005</v>
      </c>
      <c r="D8" s="4">
        <f>D6-D7</f>
        <v>-11.379999999999995</v>
      </c>
      <c r="E8" s="16">
        <f>E6-E7</f>
        <v>23.209999999999994</v>
      </c>
      <c r="G8" s="36"/>
      <c r="I8" s="7"/>
      <c r="J8" s="27"/>
    </row>
    <row r="9" spans="2:10" ht="14.4" x14ac:dyDescent="0.25">
      <c r="B9" s="9" t="s">
        <v>12</v>
      </c>
      <c r="C9" s="20"/>
      <c r="D9" s="6" t="s">
        <v>14</v>
      </c>
      <c r="E9" s="17" t="s">
        <v>13</v>
      </c>
      <c r="G9" s="37"/>
      <c r="H9" s="38" t="s">
        <v>1</v>
      </c>
      <c r="I9" s="57" t="s">
        <v>28</v>
      </c>
      <c r="J9" s="39" t="s">
        <v>23</v>
      </c>
    </row>
    <row r="10" spans="2:10" ht="15.6" x14ac:dyDescent="0.25">
      <c r="B10" s="9" t="s">
        <v>11</v>
      </c>
      <c r="C10" s="22">
        <v>0</v>
      </c>
      <c r="D10" s="5">
        <v>0</v>
      </c>
      <c r="E10" s="13">
        <f>E8</f>
        <v>23.209999999999994</v>
      </c>
      <c r="G10" s="40" t="s">
        <v>24</v>
      </c>
      <c r="H10" s="41" t="s">
        <v>31</v>
      </c>
      <c r="I10" s="63">
        <f>D10</f>
        <v>0</v>
      </c>
      <c r="J10" s="42">
        <f>E10</f>
        <v>23.209999999999994</v>
      </c>
    </row>
    <row r="11" spans="2:10" ht="27.6" x14ac:dyDescent="0.25">
      <c r="B11" s="14" t="s">
        <v>5</v>
      </c>
      <c r="C11" s="15">
        <v>100</v>
      </c>
      <c r="D11" s="77">
        <f>D6*D5+E6*E5</f>
        <v>102.83299999999998</v>
      </c>
      <c r="E11" s="78"/>
      <c r="G11" s="40" t="s">
        <v>25</v>
      </c>
      <c r="H11" s="26">
        <f>(D6*D5+E6*E5)/(1+H5)</f>
        <v>94.342201834862365</v>
      </c>
      <c r="I11" s="58">
        <f>D6</f>
        <v>78.62</v>
      </c>
      <c r="J11" s="42">
        <f>E6</f>
        <v>113.21</v>
      </c>
    </row>
    <row r="12" spans="2:10" ht="13.8" customHeight="1" x14ac:dyDescent="0.25">
      <c r="B12" s="9" t="s">
        <v>6</v>
      </c>
      <c r="C12" s="20" t="s">
        <v>17</v>
      </c>
      <c r="D12" s="79" t="s">
        <v>16</v>
      </c>
      <c r="E12" s="80"/>
      <c r="G12" s="40" t="s">
        <v>26</v>
      </c>
      <c r="H12" s="62">
        <f>-H7</f>
        <v>-51.217737883725299</v>
      </c>
      <c r="I12" s="26">
        <f>J12</f>
        <v>-52.754270020237058</v>
      </c>
      <c r="J12" s="42">
        <f>H12*(1+H4)</f>
        <v>-52.754270020237058</v>
      </c>
    </row>
    <row r="13" spans="2:10" ht="14.4" x14ac:dyDescent="0.25">
      <c r="B13" s="14" t="s">
        <v>7</v>
      </c>
      <c r="C13" s="15">
        <f>C8</f>
        <v>11.760000000000005</v>
      </c>
      <c r="D13" s="77">
        <f>D5*D10+E5*E10</f>
        <v>16.246999999999996</v>
      </c>
      <c r="E13" s="81"/>
      <c r="G13" s="40" t="s">
        <v>27</v>
      </c>
      <c r="H13" s="26">
        <f>H11*H6+H12</f>
        <v>12.086179566033465</v>
      </c>
      <c r="I13" s="58">
        <f>I11*H6+I12</f>
        <v>0</v>
      </c>
      <c r="J13" s="42">
        <f>J11*H6+J12</f>
        <v>23.210000000000008</v>
      </c>
    </row>
    <row r="14" spans="2:10" ht="15.6" x14ac:dyDescent="0.25">
      <c r="B14" s="9"/>
      <c r="C14" s="12"/>
      <c r="D14" s="79" t="s">
        <v>15</v>
      </c>
      <c r="E14" s="80"/>
      <c r="G14" s="43" t="s">
        <v>33</v>
      </c>
      <c r="H14" s="26">
        <f>D13</f>
        <v>16.246999999999996</v>
      </c>
      <c r="I14" s="58"/>
      <c r="J14" s="42"/>
    </row>
    <row r="15" spans="2:10" x14ac:dyDescent="0.25">
      <c r="B15" s="67" t="s">
        <v>21</v>
      </c>
      <c r="C15" s="15">
        <f>C13</f>
        <v>11.760000000000005</v>
      </c>
      <c r="D15" s="77">
        <f>D13/(1+20%)</f>
        <v>13.539166666666665</v>
      </c>
      <c r="E15" s="78"/>
      <c r="G15" s="36"/>
      <c r="I15" s="7"/>
      <c r="J15" s="27"/>
    </row>
    <row r="16" spans="2:10" ht="15" customHeight="1" x14ac:dyDescent="0.25">
      <c r="B16" s="68"/>
      <c r="C16" s="8"/>
      <c r="D16" s="65" t="s">
        <v>18</v>
      </c>
      <c r="E16" s="66"/>
      <c r="G16" s="44" t="s">
        <v>32</v>
      </c>
      <c r="H16" s="82">
        <f>H14/H13-1</f>
        <v>0.34426266888007695</v>
      </c>
      <c r="I16" s="59"/>
      <c r="J16" s="45"/>
    </row>
    <row r="17" spans="2:10" x14ac:dyDescent="0.25">
      <c r="B17" s="25" t="s">
        <v>19</v>
      </c>
      <c r="C17" s="26">
        <f>MAX(C15:E15)</f>
        <v>13.539166666666665</v>
      </c>
      <c r="E17" s="27"/>
      <c r="G17" s="25" t="s">
        <v>36</v>
      </c>
      <c r="H17" s="26">
        <f>MAX(H13,C15)</f>
        <v>12.086179566033465</v>
      </c>
      <c r="J17" s="27"/>
    </row>
    <row r="18" spans="2:10" ht="14.4" thickBot="1" x14ac:dyDescent="0.3">
      <c r="B18" s="28" t="s">
        <v>20</v>
      </c>
      <c r="C18" s="29">
        <f>D15-C15</f>
        <v>1.7791666666666597</v>
      </c>
      <c r="D18" s="19"/>
      <c r="E18" s="30"/>
      <c r="G18" s="28" t="s">
        <v>37</v>
      </c>
      <c r="H18" s="29">
        <f>H17-C15</f>
        <v>0.32617956603345988</v>
      </c>
      <c r="I18" s="19"/>
      <c r="J18" s="30"/>
    </row>
    <row r="19" spans="2:10" ht="14.4" thickBot="1" x14ac:dyDescent="0.3"/>
    <row r="20" spans="2:10" x14ac:dyDescent="0.25">
      <c r="B20" s="23" t="s">
        <v>44</v>
      </c>
      <c r="C20" s="46"/>
      <c r="D20" s="46"/>
      <c r="E20" s="47"/>
      <c r="G20" s="23" t="s">
        <v>45</v>
      </c>
      <c r="H20" s="46"/>
      <c r="I20" s="46"/>
      <c r="J20" s="47"/>
    </row>
    <row r="21" spans="2:10" ht="18" x14ac:dyDescent="0.25">
      <c r="B21" s="48" t="s">
        <v>43</v>
      </c>
      <c r="C21" s="8"/>
      <c r="E21" s="27"/>
      <c r="G21" s="48" t="s">
        <v>46</v>
      </c>
      <c r="H21" s="8"/>
      <c r="J21" s="27"/>
    </row>
    <row r="22" spans="2:10" ht="15.6" x14ac:dyDescent="0.25">
      <c r="B22" s="43" t="s">
        <v>38</v>
      </c>
      <c r="C22" s="26">
        <f>D13</f>
        <v>16.246999999999996</v>
      </c>
      <c r="E22" s="27"/>
      <c r="G22" s="36" t="s">
        <v>47</v>
      </c>
      <c r="H22" s="50">
        <f>H5-H4</f>
        <v>0.06</v>
      </c>
      <c r="J22" s="27"/>
    </row>
    <row r="23" spans="2:10" ht="15.6" x14ac:dyDescent="0.25">
      <c r="B23" s="43" t="s">
        <v>40</v>
      </c>
      <c r="C23" s="26">
        <f>E10</f>
        <v>23.209999999999994</v>
      </c>
      <c r="E23" s="27"/>
      <c r="G23" s="36" t="s">
        <v>48</v>
      </c>
      <c r="H23" s="50">
        <f>H16-H4</f>
        <v>0.31426266888007692</v>
      </c>
      <c r="J23" s="27"/>
    </row>
    <row r="24" spans="2:10" ht="15.6" x14ac:dyDescent="0.25">
      <c r="B24" s="43" t="s">
        <v>41</v>
      </c>
      <c r="C24" s="49">
        <f>D10</f>
        <v>0</v>
      </c>
      <c r="E24" s="27"/>
      <c r="G24" s="51" t="s">
        <v>51</v>
      </c>
      <c r="H24" s="52">
        <f>H23/H22</f>
        <v>5.2377111480012823</v>
      </c>
      <c r="J24" s="64">
        <f>H22/H26</f>
        <v>0.16364649060687317</v>
      </c>
    </row>
    <row r="25" spans="2:10" ht="15.6" x14ac:dyDescent="0.25">
      <c r="B25" s="43" t="s">
        <v>42</v>
      </c>
      <c r="C25" s="26">
        <f>(C22-(C23-C24)*(H5-H4)/((E6-D6)/H11))/(1+H4)</f>
        <v>12.086179566033467</v>
      </c>
      <c r="E25" s="27"/>
      <c r="G25" s="36"/>
      <c r="I25" s="72" t="s">
        <v>53</v>
      </c>
      <c r="J25" s="73"/>
    </row>
    <row r="26" spans="2:10" x14ac:dyDescent="0.25">
      <c r="B26" s="36"/>
      <c r="E26" s="27"/>
      <c r="G26" s="36" t="s">
        <v>49</v>
      </c>
      <c r="H26" s="53">
        <f>(E6-D6)/H11</f>
        <v>0.36664397615551425</v>
      </c>
      <c r="J26" s="64">
        <f>H23/H27</f>
        <v>0.16364649060687322</v>
      </c>
    </row>
    <row r="27" spans="2:10" x14ac:dyDescent="0.25">
      <c r="B27" s="36"/>
      <c r="E27" s="27"/>
      <c r="G27" s="36" t="s">
        <v>50</v>
      </c>
      <c r="H27" s="53">
        <f>(E10-D10)/H17</f>
        <v>1.9203752412572528</v>
      </c>
      <c r="J27" s="27"/>
    </row>
    <row r="28" spans="2:10" ht="14.4" thickBot="1" x14ac:dyDescent="0.3">
      <c r="B28" s="18"/>
      <c r="C28" s="19"/>
      <c r="D28" s="19"/>
      <c r="E28" s="30"/>
      <c r="G28" s="54" t="s">
        <v>52</v>
      </c>
      <c r="H28" s="55">
        <f>H27/H26</f>
        <v>5.2377111480012806</v>
      </c>
      <c r="I28" s="19"/>
      <c r="J28" s="30"/>
    </row>
  </sheetData>
  <mergeCells count="10">
    <mergeCell ref="D16:E16"/>
    <mergeCell ref="B15:B16"/>
    <mergeCell ref="G3:J3"/>
    <mergeCell ref="I25:J25"/>
    <mergeCell ref="B3:E3"/>
    <mergeCell ref="D11:E11"/>
    <mergeCell ref="D12:E12"/>
    <mergeCell ref="D13:E13"/>
    <mergeCell ref="D15:E15"/>
    <mergeCell ref="D14:E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 &amp; 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Modebadze</dc:creator>
  <cp:lastModifiedBy>Shota Modebadze</cp:lastModifiedBy>
  <dcterms:created xsi:type="dcterms:W3CDTF">2015-06-05T18:17:20Z</dcterms:created>
  <dcterms:modified xsi:type="dcterms:W3CDTF">2025-05-12T10:39:47Z</dcterms:modified>
</cp:coreProperties>
</file>