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https://d.docs.live.net/89870f9c02b3cf52/Desktop/RE Finance Books/"/>
    </mc:Choice>
  </mc:AlternateContent>
  <xr:revisionPtr revIDLastSave="978" documentId="11_F25DC773A252ABDACC1048D7991B778C5ADE58EC" xr6:coauthVersionLast="47" xr6:coauthVersionMax="47" xr10:uidLastSave="{600D3B4F-B88D-4A71-8031-351CE53031C1}"/>
  <bookViews>
    <workbookView xWindow="-108" yWindow="-108" windowWidth="23256" windowHeight="12456" activeTab="1" xr2:uid="{00000000-000D-0000-FFFF-FFFF00000000}"/>
  </bookViews>
  <sheets>
    <sheet name="Dispositon" sheetId="1" r:id="rId1"/>
    <sheet name="MRR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1" l="1"/>
  <c r="K36" i="2"/>
  <c r="L36" i="2" s="1"/>
  <c r="M36" i="2" s="1"/>
  <c r="N36" i="2" s="1"/>
  <c r="O36" i="2" s="1"/>
  <c r="P36" i="2" s="1"/>
  <c r="Q36" i="2" s="1"/>
  <c r="R36" i="2" s="1"/>
  <c r="S36" i="2" s="1"/>
  <c r="T36" i="2" s="1"/>
  <c r="L35" i="2"/>
  <c r="M35" i="2" s="1"/>
  <c r="N35" i="2" s="1"/>
  <c r="O35" i="2" s="1"/>
  <c r="P35" i="2" s="1"/>
  <c r="Q35" i="2" s="1"/>
  <c r="R35" i="2" s="1"/>
  <c r="S35" i="2" s="1"/>
  <c r="T35" i="2" s="1"/>
  <c r="M34" i="2"/>
  <c r="N34" i="2"/>
  <c r="O34" i="2"/>
  <c r="P34" i="2"/>
  <c r="Q34" i="2"/>
  <c r="R34" i="2"/>
  <c r="S34" i="2"/>
  <c r="T34" i="2"/>
  <c r="L34" i="2"/>
  <c r="K34" i="2"/>
  <c r="M28" i="2"/>
  <c r="N28" i="2"/>
  <c r="O28" i="2"/>
  <c r="P28" i="2"/>
  <c r="Q28" i="2"/>
  <c r="R28" i="2"/>
  <c r="S28" i="2"/>
  <c r="T28" i="2"/>
  <c r="M29" i="2"/>
  <c r="N29" i="2"/>
  <c r="O29" i="2"/>
  <c r="P29" i="2"/>
  <c r="Q29" i="2"/>
  <c r="R29" i="2"/>
  <c r="S29" i="2"/>
  <c r="T29" i="2"/>
  <c r="T30" i="2" s="1"/>
  <c r="M30" i="2"/>
  <c r="N30" i="2"/>
  <c r="O30" i="2"/>
  <c r="P30" i="2"/>
  <c r="Q30" i="2"/>
  <c r="R30" i="2"/>
  <c r="S30" i="2"/>
  <c r="L30" i="2"/>
  <c r="K30" i="2"/>
  <c r="J30" i="2"/>
  <c r="L29" i="2"/>
  <c r="K29" i="2"/>
  <c r="J29" i="2"/>
  <c r="L28" i="2"/>
  <c r="K28" i="2"/>
  <c r="I28" i="2"/>
  <c r="M27" i="2"/>
  <c r="N27" i="2"/>
  <c r="O27" i="2"/>
  <c r="P27" i="2"/>
  <c r="Q27" i="2"/>
  <c r="R27" i="2"/>
  <c r="S27" i="2"/>
  <c r="T27" i="2"/>
  <c r="L27" i="2"/>
  <c r="K27" i="2"/>
  <c r="M26" i="2"/>
  <c r="N26" i="2"/>
  <c r="O26" i="2"/>
  <c r="P26" i="2"/>
  <c r="Q26" i="2"/>
  <c r="R26" i="2"/>
  <c r="S26" i="2"/>
  <c r="T26" i="2"/>
  <c r="L26" i="2"/>
  <c r="K26" i="2"/>
  <c r="H26" i="2"/>
  <c r="M25" i="2"/>
  <c r="N25" i="2" s="1"/>
  <c r="O25" i="2" s="1"/>
  <c r="P25" i="2" s="1"/>
  <c r="Q25" i="2" s="1"/>
  <c r="R25" i="2" s="1"/>
  <c r="S25" i="2" s="1"/>
  <c r="T25" i="2" s="1"/>
  <c r="L25" i="2"/>
  <c r="K25" i="2"/>
  <c r="M22" i="2"/>
  <c r="N22" i="2"/>
  <c r="O22" i="2"/>
  <c r="P22" i="2"/>
  <c r="Q22" i="2"/>
  <c r="R22" i="2"/>
  <c r="S22" i="2"/>
  <c r="T22" i="2"/>
  <c r="L22" i="2"/>
  <c r="K22" i="2"/>
  <c r="N21" i="2"/>
  <c r="O21" i="2"/>
  <c r="P21" i="2"/>
  <c r="Q21" i="2"/>
  <c r="R21" i="2"/>
  <c r="S21" i="2"/>
  <c r="T21" i="2"/>
  <c r="M21" i="2"/>
  <c r="L21" i="2"/>
  <c r="K21" i="2"/>
  <c r="J21" i="2"/>
  <c r="T20" i="2"/>
  <c r="M20" i="2"/>
  <c r="N20" i="2"/>
  <c r="O20" i="2"/>
  <c r="P20" i="2"/>
  <c r="Q20" i="2"/>
  <c r="R20" i="2"/>
  <c r="S20" i="2"/>
  <c r="L20" i="2"/>
  <c r="K20" i="2"/>
  <c r="M19" i="2"/>
  <c r="N19" i="2" s="1"/>
  <c r="O19" i="2" s="1"/>
  <c r="P19" i="2" s="1"/>
  <c r="Q19" i="2" s="1"/>
  <c r="R19" i="2" s="1"/>
  <c r="S19" i="2" s="1"/>
  <c r="T19" i="2" s="1"/>
  <c r="L19" i="2"/>
  <c r="K19" i="2"/>
  <c r="M18" i="2"/>
  <c r="N18" i="2" s="1"/>
  <c r="O18" i="2" s="1"/>
  <c r="P18" i="2" s="1"/>
  <c r="Q18" i="2" s="1"/>
  <c r="R18" i="2" s="1"/>
  <c r="S18" i="2" s="1"/>
  <c r="T18" i="2" s="1"/>
  <c r="L18" i="2"/>
  <c r="P4" i="2"/>
  <c r="Q4" i="2" s="1"/>
  <c r="R4" i="2" s="1"/>
  <c r="S4" i="2" s="1"/>
  <c r="T4" i="2" s="1"/>
  <c r="F33" i="2" a="1"/>
  <c r="F33" i="2" s="1"/>
  <c r="J19" i="2"/>
  <c r="J20" i="2" s="1"/>
  <c r="F11" i="2"/>
  <c r="E9" i="2"/>
  <c r="F5" i="2"/>
  <c r="G5" i="2" s="1"/>
  <c r="C5" i="2"/>
  <c r="H25" i="2" s="1"/>
  <c r="M4" i="2"/>
  <c r="N4" i="2" s="1"/>
  <c r="O4" i="2" s="1"/>
  <c r="F3" i="2" a="1"/>
  <c r="K3" i="2" s="1"/>
  <c r="L3" i="2" s="1"/>
  <c r="M3" i="2" s="1"/>
  <c r="N3" i="2" s="1"/>
  <c r="O3" i="2" s="1"/>
  <c r="P3" i="2" s="1"/>
  <c r="Q3" i="2" s="1"/>
  <c r="R3" i="2" s="1"/>
  <c r="S3" i="2" s="1"/>
  <c r="T3" i="2" s="1"/>
  <c r="I42" i="1"/>
  <c r="I41" i="1"/>
  <c r="F3" i="1" a="1"/>
  <c r="F3" i="1" s="1"/>
  <c r="F33" i="1" a="1"/>
  <c r="F33" i="1" s="1"/>
  <c r="M4" i="1"/>
  <c r="N4" i="1" s="1"/>
  <c r="O4" i="1" s="1"/>
  <c r="E9" i="1"/>
  <c r="F5" i="1"/>
  <c r="G5" i="1" s="1"/>
  <c r="H5" i="1" s="1"/>
  <c r="I5" i="1" s="1"/>
  <c r="J5" i="1" s="1"/>
  <c r="F11" i="1"/>
  <c r="G11" i="1" s="1"/>
  <c r="H11" i="1" s="1"/>
  <c r="I11" i="1" s="1"/>
  <c r="J11" i="1" s="1"/>
  <c r="K11" i="1" s="1"/>
  <c r="J19" i="1"/>
  <c r="J20" i="1" s="1"/>
  <c r="C5" i="1"/>
  <c r="H25" i="1" s="1"/>
  <c r="M25" i="1" s="1"/>
  <c r="J39" i="1" l="1"/>
  <c r="O19" i="1"/>
  <c r="O20" i="1" s="1"/>
  <c r="N24" i="1" s="1"/>
  <c r="G9" i="2"/>
  <c r="H5" i="2"/>
  <c r="G11" i="2"/>
  <c r="H11" i="2" s="1"/>
  <c r="I11" i="2" s="1"/>
  <c r="J11" i="2" s="1"/>
  <c r="K11" i="2" s="1"/>
  <c r="L11" i="2" s="1"/>
  <c r="M11" i="2" s="1"/>
  <c r="N11" i="2" s="1"/>
  <c r="O11" i="2" s="1"/>
  <c r="P11" i="2" s="1"/>
  <c r="Q11" i="2" s="1"/>
  <c r="R11" i="2" s="1"/>
  <c r="S11" i="2" s="1"/>
  <c r="T11" i="2" s="1"/>
  <c r="F3" i="2"/>
  <c r="C8" i="2"/>
  <c r="I24" i="2"/>
  <c r="E34" i="2"/>
  <c r="F9" i="2"/>
  <c r="F12" i="2" s="1"/>
  <c r="F13" i="2" s="1"/>
  <c r="F16" i="2" s="1"/>
  <c r="K3" i="1"/>
  <c r="L3" i="1" s="1"/>
  <c r="M3" i="1" s="1"/>
  <c r="N3" i="1" s="1"/>
  <c r="O3" i="1" s="1"/>
  <c r="K39" i="1"/>
  <c r="L39" i="1" s="1"/>
  <c r="M39" i="1" s="1"/>
  <c r="N39" i="1" s="1"/>
  <c r="O39" i="1" s="1"/>
  <c r="J9" i="1"/>
  <c r="J12" i="1" s="1"/>
  <c r="K5" i="1"/>
  <c r="L11" i="1"/>
  <c r="I24" i="1"/>
  <c r="I9" i="1"/>
  <c r="I12" i="1" s="1"/>
  <c r="H9" i="1"/>
  <c r="H12" i="1" s="1"/>
  <c r="F9" i="1"/>
  <c r="F12" i="1" s="1"/>
  <c r="G9" i="1"/>
  <c r="G12" i="1" s="1"/>
  <c r="C8" i="1"/>
  <c r="H26" i="1"/>
  <c r="I27" i="1" s="1"/>
  <c r="I28" i="1" s="1"/>
  <c r="J29" i="1" s="1"/>
  <c r="I27" i="2" l="1"/>
  <c r="F6" i="2"/>
  <c r="E36" i="2"/>
  <c r="I5" i="2"/>
  <c r="H9" i="2"/>
  <c r="H12" i="2" s="1"/>
  <c r="H13" i="2" s="1"/>
  <c r="H16" i="2" s="1"/>
  <c r="G12" i="2"/>
  <c r="G13" i="2" s="1"/>
  <c r="G16" i="2" s="1"/>
  <c r="L5" i="1"/>
  <c r="K9" i="1"/>
  <c r="K12" i="1" s="1"/>
  <c r="K13" i="1" s="1"/>
  <c r="K16" i="1" s="1"/>
  <c r="M11" i="1"/>
  <c r="G6" i="1"/>
  <c r="H6" i="1" s="1"/>
  <c r="I6" i="1" s="1"/>
  <c r="J6" i="1" s="1"/>
  <c r="K6" i="1" s="1"/>
  <c r="L6" i="1" s="1"/>
  <c r="M6" i="1" s="1"/>
  <c r="N6" i="1" s="1"/>
  <c r="O6" i="1" s="1"/>
  <c r="E34" i="1"/>
  <c r="E36" i="1" s="1"/>
  <c r="J5" i="2" l="1"/>
  <c r="I9" i="2"/>
  <c r="I12" i="2" s="1"/>
  <c r="I13" i="2" s="1"/>
  <c r="I16" i="2" s="1"/>
  <c r="F7" i="2"/>
  <c r="F15" i="2" s="1"/>
  <c r="G6" i="2"/>
  <c r="M5" i="1"/>
  <c r="L9" i="1"/>
  <c r="L12" i="1" s="1"/>
  <c r="L13" i="1" s="1"/>
  <c r="L16" i="1" s="1"/>
  <c r="L7" i="1"/>
  <c r="L15" i="1" s="1"/>
  <c r="K7" i="1"/>
  <c r="K15" i="1" s="1"/>
  <c r="K17" i="1" s="1"/>
  <c r="K41" i="1" s="1"/>
  <c r="O21" i="1"/>
  <c r="O22" i="1" s="1"/>
  <c r="N11" i="1"/>
  <c r="J21" i="1"/>
  <c r="J22" i="1" s="1"/>
  <c r="J30" i="1" s="1"/>
  <c r="J41" i="1" s="1"/>
  <c r="J7" i="1"/>
  <c r="J15" i="1" s="1"/>
  <c r="G7" i="1"/>
  <c r="G15" i="1" s="1"/>
  <c r="G34" i="1" s="1"/>
  <c r="I7" i="1"/>
  <c r="I15" i="1" s="1"/>
  <c r="I34" i="1" s="1"/>
  <c r="F7" i="1"/>
  <c r="F13" i="1" s="1"/>
  <c r="F16" i="1" s="1"/>
  <c r="H7" i="1"/>
  <c r="H15" i="1" s="1"/>
  <c r="H34" i="1" s="1"/>
  <c r="H6" i="2" l="1"/>
  <c r="G7" i="2"/>
  <c r="G15" i="2" s="1"/>
  <c r="F34" i="2"/>
  <c r="F17" i="2"/>
  <c r="F36" i="2" s="1"/>
  <c r="K5" i="2"/>
  <c r="J9" i="2"/>
  <c r="J12" i="2" s="1"/>
  <c r="J13" i="2" s="1"/>
  <c r="J16" i="2" s="1"/>
  <c r="L17" i="1"/>
  <c r="L41" i="1" s="1"/>
  <c r="J34" i="1"/>
  <c r="N5" i="1"/>
  <c r="M7" i="1"/>
  <c r="M15" i="1" s="1"/>
  <c r="M9" i="1"/>
  <c r="M12" i="1" s="1"/>
  <c r="M13" i="1" s="1"/>
  <c r="M16" i="1" s="1"/>
  <c r="M17" i="1" s="1"/>
  <c r="M41" i="1" s="1"/>
  <c r="O11" i="1"/>
  <c r="J13" i="1"/>
  <c r="J16" i="1" s="1"/>
  <c r="J17" i="1" s="1"/>
  <c r="J36" i="1" s="1"/>
  <c r="G13" i="1"/>
  <c r="G16" i="1" s="1"/>
  <c r="G17" i="1" s="1"/>
  <c r="G36" i="1" s="1"/>
  <c r="I13" i="1"/>
  <c r="I16" i="1" s="1"/>
  <c r="I17" i="1" s="1"/>
  <c r="I36" i="1" s="1"/>
  <c r="F15" i="1"/>
  <c r="F34" i="1" s="1"/>
  <c r="E35" i="1" s="1"/>
  <c r="H13" i="1"/>
  <c r="H16" i="1" s="1"/>
  <c r="H17" i="1" s="1"/>
  <c r="H36" i="1" s="1"/>
  <c r="K9" i="2" l="1"/>
  <c r="K12" i="2" s="1"/>
  <c r="K13" i="2" s="1"/>
  <c r="K16" i="2" s="1"/>
  <c r="L5" i="2"/>
  <c r="G34" i="2"/>
  <c r="G17" i="2"/>
  <c r="G36" i="2" s="1"/>
  <c r="I6" i="2"/>
  <c r="H7" i="2"/>
  <c r="H15" i="2" s="1"/>
  <c r="O5" i="1"/>
  <c r="N9" i="1"/>
  <c r="N12" i="1" s="1"/>
  <c r="N13" i="1" s="1"/>
  <c r="N16" i="1" s="1"/>
  <c r="N7" i="1"/>
  <c r="N15" i="1" s="1"/>
  <c r="M26" i="1"/>
  <c r="N27" i="1" s="1"/>
  <c r="N28" i="1" s="1"/>
  <c r="O29" i="1" s="1"/>
  <c r="O30" i="1" s="1"/>
  <c r="F17" i="1"/>
  <c r="F36" i="1" s="1"/>
  <c r="E37" i="1" s="1"/>
  <c r="M5" i="2" l="1"/>
  <c r="L9" i="2"/>
  <c r="L12" i="2" s="1"/>
  <c r="L13" i="2" s="1"/>
  <c r="L16" i="2" s="1"/>
  <c r="J6" i="2"/>
  <c r="I7" i="2"/>
  <c r="I15" i="2" s="1"/>
  <c r="J22" i="2"/>
  <c r="H34" i="2"/>
  <c r="H17" i="2"/>
  <c r="H36" i="2" s="1"/>
  <c r="N17" i="1"/>
  <c r="N41" i="1" s="1"/>
  <c r="O9" i="1"/>
  <c r="O12" i="1" s="1"/>
  <c r="O13" i="1" s="1"/>
  <c r="O16" i="1" s="1"/>
  <c r="O7" i="1"/>
  <c r="O15" i="1" s="1"/>
  <c r="I17" i="2" l="1"/>
  <c r="I36" i="2" s="1"/>
  <c r="I34" i="2"/>
  <c r="K6" i="2"/>
  <c r="J7" i="2"/>
  <c r="J15" i="2" s="1"/>
  <c r="N5" i="2"/>
  <c r="M9" i="2"/>
  <c r="M12" i="2" s="1"/>
  <c r="M13" i="2" s="1"/>
  <c r="M16" i="2" s="1"/>
  <c r="O17" i="1"/>
  <c r="O41" i="1" s="1"/>
  <c r="J42" i="1" s="1"/>
  <c r="O5" i="2" l="1"/>
  <c r="P5" i="2" s="1"/>
  <c r="N9" i="2"/>
  <c r="N12" i="2" s="1"/>
  <c r="N13" i="2" s="1"/>
  <c r="N16" i="2" s="1"/>
  <c r="J17" i="2"/>
  <c r="J36" i="2" s="1"/>
  <c r="E37" i="2" s="1"/>
  <c r="J34" i="2"/>
  <c r="E35" i="2" s="1"/>
  <c r="L6" i="2"/>
  <c r="K7" i="2"/>
  <c r="K15" i="2" s="1"/>
  <c r="K17" i="2" s="1"/>
  <c r="P9" i="2" l="1"/>
  <c r="P12" i="2" s="1"/>
  <c r="P13" i="2" s="1"/>
  <c r="P16" i="2" s="1"/>
  <c r="Q5" i="2"/>
  <c r="M6" i="2"/>
  <c r="L7" i="2"/>
  <c r="L15" i="2" s="1"/>
  <c r="L17" i="2" s="1"/>
  <c r="O9" i="2"/>
  <c r="O12" i="2" s="1"/>
  <c r="O13" i="2" s="1"/>
  <c r="O16" i="2" s="1"/>
  <c r="R5" i="2" l="1"/>
  <c r="Q9" i="2"/>
  <c r="Q12" i="2" s="1"/>
  <c r="Q13" i="2" s="1"/>
  <c r="Q16" i="2" s="1"/>
  <c r="N6" i="2"/>
  <c r="M7" i="2"/>
  <c r="M15" i="2" s="1"/>
  <c r="M17" i="2" s="1"/>
  <c r="R9" i="2" l="1"/>
  <c r="R12" i="2" s="1"/>
  <c r="R13" i="2" s="1"/>
  <c r="R16" i="2" s="1"/>
  <c r="S5" i="2"/>
  <c r="O6" i="2"/>
  <c r="N7" i="2"/>
  <c r="N15" i="2" s="1"/>
  <c r="N17" i="2" s="1"/>
  <c r="T5" i="2" l="1"/>
  <c r="S9" i="2"/>
  <c r="S12" i="2" s="1"/>
  <c r="S13" i="2" s="1"/>
  <c r="S16" i="2" s="1"/>
  <c r="P6" i="2"/>
  <c r="O7" i="2"/>
  <c r="O15" i="2" s="1"/>
  <c r="O17" i="2" s="1"/>
  <c r="Q6" i="2" l="1"/>
  <c r="P7" i="2"/>
  <c r="P15" i="2" s="1"/>
  <c r="P17" i="2" s="1"/>
  <c r="T9" i="2"/>
  <c r="T12" i="2" s="1"/>
  <c r="T13" i="2" s="1"/>
  <c r="T16" i="2" s="1"/>
  <c r="R6" i="2" l="1"/>
  <c r="Q7" i="2"/>
  <c r="Q15" i="2" s="1"/>
  <c r="Q17" i="2" s="1"/>
  <c r="S6" i="2" l="1"/>
  <c r="R7" i="2"/>
  <c r="R15" i="2" s="1"/>
  <c r="R17" i="2" s="1"/>
  <c r="T6" i="2" l="1"/>
  <c r="S7" i="2"/>
  <c r="S15" i="2" s="1"/>
  <c r="S17" i="2" s="1"/>
  <c r="T7" i="2" l="1"/>
  <c r="T15" i="2" s="1"/>
  <c r="T17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<sst xmlns="http://schemas.openxmlformats.org/spreadsheetml/2006/main" count="102" uniqueCount="49">
  <si>
    <t>Before-tax cash flow</t>
  </si>
  <si>
    <t>NOI</t>
  </si>
  <si>
    <t>Taxable income</t>
  </si>
  <si>
    <t>Depreciation</t>
  </si>
  <si>
    <t xml:space="preserve">Tax </t>
  </si>
  <si>
    <t>After-tax cash flow</t>
  </si>
  <si>
    <t>Tax</t>
  </si>
  <si>
    <t>Net Operation Income (NOI)</t>
  </si>
  <si>
    <t>Before-tax cash flow (BTCF)</t>
  </si>
  <si>
    <t>After-tax cash flow (ATCF)</t>
  </si>
  <si>
    <t>Sales price</t>
  </si>
  <si>
    <t>BTCF</t>
  </si>
  <si>
    <t>Tax in year of sale</t>
  </si>
  <si>
    <t>Original cost basis</t>
  </si>
  <si>
    <t>Accumulated depreciation</t>
  </si>
  <si>
    <t>Adjusted basis</t>
  </si>
  <si>
    <t>Capital gain</t>
  </si>
  <si>
    <t>ATCF</t>
  </si>
  <si>
    <t>Purchase Price</t>
  </si>
  <si>
    <t>Building Value</t>
  </si>
  <si>
    <t>Land Value</t>
  </si>
  <si>
    <t>Total Value</t>
  </si>
  <si>
    <t>Loan assumptions</t>
  </si>
  <si>
    <t>Loan amount</t>
  </si>
  <si>
    <t>Interest rate</t>
  </si>
  <si>
    <t>Term</t>
  </si>
  <si>
    <t>Income assumptions</t>
  </si>
  <si>
    <t>Income tax</t>
  </si>
  <si>
    <t>Resale Price</t>
  </si>
  <si>
    <t>Years</t>
  </si>
  <si>
    <t>Cash Flow from Sale</t>
  </si>
  <si>
    <t>Mortgage balance</t>
  </si>
  <si>
    <t>BT-IRR</t>
  </si>
  <si>
    <t>AT-IRR</t>
  </si>
  <si>
    <t>Loan-to-Equity</t>
  </si>
  <si>
    <t>Depreciation year</t>
  </si>
  <si>
    <t>Growth Rate</t>
  </si>
  <si>
    <t>25 Year</t>
  </si>
  <si>
    <t>Interest</t>
  </si>
  <si>
    <t xml:space="preserve">Debt service (DS) </t>
  </si>
  <si>
    <r>
      <t>Taxable income</t>
    </r>
    <r>
      <rPr>
        <sz val="11"/>
        <color rgb="FFFF0000"/>
        <rFont val="Calibri"/>
        <family val="2"/>
        <charset val="204"/>
        <scheme val="minor"/>
      </rPr>
      <t xml:space="preserve"> (Loss)</t>
    </r>
  </si>
  <si>
    <t>Sales Cost (6%)</t>
  </si>
  <si>
    <t>Sales price Less 6%</t>
  </si>
  <si>
    <t>Capital Gain Tax from sale 28%</t>
  </si>
  <si>
    <t>Income tax[6-10]</t>
  </si>
  <si>
    <t>ATCF &amp; IRR in case not Sale</t>
  </si>
  <si>
    <t>Cash Flow from Operations - Past 5 Years</t>
  </si>
  <si>
    <t>Forecast</t>
  </si>
  <si>
    <t>Marginal Rate of Return - MRR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</si>
</sst>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3">
    <xf numFmtId="0" fontId="0" fillId="0" borderId="0" xfId="0"/>
    <xf numFmtId="0" fontId="0" fillId="0" borderId="1" xfId="0" applyBorder="1"/>
    <xf numFmtId="164" fontId="0" fillId="0" borderId="2" xfId="1" applyNumberFormat="1" applyFont="1" applyBorder="1"/>
    <xf numFmtId="164" fontId="0" fillId="0" borderId="3" xfId="1" applyNumberFormat="1" applyFont="1" applyBorder="1"/>
    <xf numFmtId="9" fontId="0" fillId="0" borderId="0" xfId="0" applyNumberFormat="1"/>
    <xf numFmtId="164" fontId="0" fillId="0" borderId="2" xfId="1" applyNumberFormat="1" applyFont="1" applyFill="1" applyBorder="1"/>
    <xf numFmtId="164" fontId="2" fillId="0" borderId="2" xfId="1" applyNumberFormat="1" applyFont="1" applyBorder="1"/>
    <xf numFmtId="0" fontId="0" fillId="2" borderId="1" xfId="0" applyFill="1" applyBorder="1" applyAlignment="1">
      <alignment horizontal="center"/>
    </xf>
    <xf numFmtId="10" fontId="0" fillId="0" borderId="1" xfId="0" applyNumberFormat="1" applyBorder="1"/>
    <xf numFmtId="10" fontId="0" fillId="0" borderId="0" xfId="3" applyNumberFormat="1" applyFont="1"/>
    <xf numFmtId="0" fontId="0" fillId="2" borderId="0" xfId="0" applyFill="1"/>
    <xf numFmtId="164" fontId="0" fillId="0" borderId="0" xfId="1" applyNumberFormat="1" applyFont="1" applyFill="1" applyBorder="1"/>
    <xf numFmtId="164" fontId="0" fillId="0" borderId="0" xfId="1" applyNumberFormat="1" applyFont="1" applyBorder="1"/>
    <xf numFmtId="164" fontId="0" fillId="2" borderId="0" xfId="1" applyNumberFormat="1" applyFont="1" applyFill="1" applyBorder="1"/>
    <xf numFmtId="9" fontId="0" fillId="0" borderId="0" xfId="3" applyFont="1" applyBorder="1"/>
    <xf numFmtId="165" fontId="0" fillId="0" borderId="0" xfId="3" applyNumberFormat="1" applyFont="1" applyBorder="1"/>
    <xf numFmtId="164" fontId="0" fillId="0" borderId="0" xfId="0" applyNumberFormat="1"/>
    <xf numFmtId="10" fontId="0" fillId="0" borderId="0" xfId="0" applyNumberFormat="1"/>
    <xf numFmtId="0" fontId="0" fillId="0" borderId="4" xfId="0" applyBorder="1" applyAlignment="1">
      <alignment horizontal="center" vertical="center"/>
    </xf>
    <xf numFmtId="0" fontId="0" fillId="0" borderId="7" xfId="0" applyBorder="1"/>
    <xf numFmtId="0" fontId="0" fillId="0" borderId="8" xfId="0" applyBorder="1"/>
    <xf numFmtId="0" fontId="0" fillId="2" borderId="9" xfId="0" applyFill="1" applyBorder="1"/>
    <xf numFmtId="0" fontId="0" fillId="2" borderId="10" xfId="0" applyFill="1" applyBorder="1"/>
    <xf numFmtId="0" fontId="0" fillId="0" borderId="9" xfId="0" applyBorder="1"/>
    <xf numFmtId="164" fontId="0" fillId="0" borderId="10" xfId="1" applyNumberFormat="1" applyFont="1" applyBorder="1"/>
    <xf numFmtId="0" fontId="0" fillId="0" borderId="11" xfId="0" applyBorder="1"/>
    <xf numFmtId="164" fontId="0" fillId="0" borderId="12" xfId="1" applyNumberFormat="1" applyFont="1" applyBorder="1"/>
    <xf numFmtId="0" fontId="0" fillId="0" borderId="13" xfId="0" applyBorder="1"/>
    <xf numFmtId="164" fontId="0" fillId="0" borderId="14" xfId="1" applyNumberFormat="1" applyFont="1" applyBorder="1"/>
    <xf numFmtId="164" fontId="0" fillId="2" borderId="10" xfId="1" applyNumberFormat="1" applyFont="1" applyFill="1" applyBorder="1"/>
    <xf numFmtId="164" fontId="0" fillId="0" borderId="10" xfId="1" applyNumberFormat="1" applyFont="1" applyFill="1" applyBorder="1"/>
    <xf numFmtId="164" fontId="2" fillId="0" borderId="12" xfId="1" applyNumberFormat="1" applyFont="1" applyBorder="1"/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0" borderId="15" xfId="0" applyBorder="1"/>
    <xf numFmtId="0" fontId="0" fillId="0" borderId="10" xfId="0" applyBorder="1"/>
    <xf numFmtId="164" fontId="0" fillId="0" borderId="10" xfId="0" applyNumberFormat="1" applyBorder="1"/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9" fontId="0" fillId="2" borderId="9" xfId="0" applyNumberFormat="1" applyFill="1" applyBorder="1" applyAlignment="1">
      <alignment horizontal="center" vertical="center"/>
    </xf>
    <xf numFmtId="9" fontId="0" fillId="2" borderId="0" xfId="0" applyNumberFormat="1" applyFill="1" applyAlignment="1">
      <alignment horizontal="center" vertical="center"/>
    </xf>
    <xf numFmtId="9" fontId="0" fillId="2" borderId="10" xfId="0" applyNumberFormat="1" applyFill="1" applyBorder="1" applyAlignment="1">
      <alignment horizontal="center" vertical="center"/>
    </xf>
    <xf numFmtId="164" fontId="0" fillId="0" borderId="9" xfId="1" applyNumberFormat="1" applyFont="1" applyBorder="1"/>
    <xf numFmtId="164" fontId="0" fillId="0" borderId="11" xfId="1" applyNumberFormat="1" applyFont="1" applyBorder="1"/>
    <xf numFmtId="164" fontId="0" fillId="0" borderId="13" xfId="1" applyNumberFormat="1" applyFont="1" applyBorder="1"/>
    <xf numFmtId="164" fontId="0" fillId="2" borderId="9" xfId="1" applyNumberFormat="1" applyFont="1" applyFill="1" applyBorder="1"/>
    <xf numFmtId="164" fontId="0" fillId="0" borderId="9" xfId="1" applyNumberFormat="1" applyFont="1" applyFill="1" applyBorder="1"/>
    <xf numFmtId="164" fontId="2" fillId="0" borderId="11" xfId="1" applyNumberFormat="1" applyFont="1" applyBorder="1"/>
    <xf numFmtId="9" fontId="0" fillId="0" borderId="9" xfId="3" applyFont="1" applyBorder="1"/>
    <xf numFmtId="165" fontId="0" fillId="0" borderId="9" xfId="3" applyNumberFormat="1" applyFont="1" applyBorder="1"/>
    <xf numFmtId="10" fontId="3" fillId="3" borderId="1" xfId="0" applyNumberFormat="1" applyFont="1" applyFill="1" applyBorder="1"/>
    <xf numFmtId="0" fontId="0" fillId="2" borderId="15" xfId="0" applyFill="1" applyBorder="1"/>
    <xf numFmtId="0" fontId="0" fillId="2" borderId="17" xfId="0" applyFill="1" applyBorder="1"/>
    <xf numFmtId="164" fontId="0" fillId="0" borderId="10" xfId="2" applyNumberFormat="1" applyFont="1" applyBorder="1" applyAlignment="1">
      <alignment horizontal="right" vertical="center"/>
    </xf>
    <xf numFmtId="164" fontId="0" fillId="2" borderId="10" xfId="2" applyNumberFormat="1" applyFont="1" applyFill="1" applyBorder="1" applyAlignment="1">
      <alignment horizontal="right" vertical="center"/>
    </xf>
    <xf numFmtId="9" fontId="0" fillId="0" borderId="10" xfId="0" applyNumberFormat="1" applyBorder="1"/>
    <xf numFmtId="164" fontId="0" fillId="0" borderId="10" xfId="2" applyNumberFormat="1" applyFont="1" applyFill="1" applyBorder="1" applyAlignment="1">
      <alignment horizontal="right" vertical="center"/>
    </xf>
    <xf numFmtId="9" fontId="0" fillId="0" borderId="10" xfId="0" applyNumberFormat="1" applyBorder="1" applyAlignment="1">
      <alignment horizontal="right" vertical="center"/>
    </xf>
    <xf numFmtId="0" fontId="0" fillId="0" borderId="10" xfId="0" applyBorder="1" applyAlignment="1">
      <alignment horizontal="right" vertical="center"/>
    </xf>
    <xf numFmtId="0" fontId="0" fillId="2" borderId="10" xfId="0" applyFill="1" applyBorder="1" applyAlignment="1">
      <alignment horizontal="right" vertical="center"/>
    </xf>
    <xf numFmtId="164" fontId="0" fillId="0" borderId="8" xfId="2" applyNumberFormat="1" applyFont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9" fontId="0" fillId="2" borderId="7" xfId="0" applyNumberFormat="1" applyFill="1" applyBorder="1" applyAlignment="1">
      <alignment horizontal="center"/>
    </xf>
    <xf numFmtId="9" fontId="0" fillId="2" borderId="1" xfId="0" applyNumberFormat="1" applyFill="1" applyBorder="1" applyAlignment="1">
      <alignment horizontal="center"/>
    </xf>
    <xf numFmtId="164" fontId="0" fillId="0" borderId="9" xfId="2" applyNumberFormat="1" applyFont="1" applyBorder="1"/>
    <xf numFmtId="164" fontId="0" fillId="0" borderId="0" xfId="2" applyNumberFormat="1" applyFont="1" applyBorder="1"/>
    <xf numFmtId="10" fontId="0" fillId="0" borderId="7" xfId="3" applyNumberFormat="1" applyFont="1" applyBorder="1"/>
    <xf numFmtId="10" fontId="0" fillId="0" borderId="1" xfId="3" applyNumberFormat="1" applyFont="1" applyBorder="1"/>
    <xf numFmtId="10" fontId="0" fillId="0" borderId="8" xfId="3" applyNumberFormat="1" applyFont="1" applyBorder="1"/>
    <xf numFmtId="0" fontId="0" fillId="2" borderId="5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4" borderId="15" xfId="0" applyFill="1" applyBorder="1" applyAlignment="1">
      <alignment horizontal="center"/>
    </xf>
    <xf numFmtId="0" fontId="0" fillId="4" borderId="16" xfId="0" applyFill="1" applyBorder="1" applyAlignment="1">
      <alignment horizontal="center"/>
    </xf>
    <xf numFmtId="0" fontId="0" fillId="4" borderId="17" xfId="0" applyFill="1" applyBorder="1" applyAlignment="1">
      <alignment horizontal="center"/>
    </xf>
    <xf numFmtId="0" fontId="0" fillId="0" borderId="0" xfId="0" applyBorder="1"/>
    <xf numFmtId="10" fontId="0" fillId="0" borderId="0" xfId="0" applyNumberFormat="1" applyBorder="1"/>
    <xf numFmtId="0" fontId="0" fillId="0" borderId="0" xfId="0" applyBorder="1" applyAlignment="1">
      <alignment horizontal="center"/>
    </xf>
    <xf numFmtId="164" fontId="0" fillId="0" borderId="0" xfId="0" applyNumberFormat="1" applyBorder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6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MRR vs Reinvestment Rates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MRR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MRR!$K$3:$T$3</c:f>
              <c:numCache>
                <c:formatCode>General</c:formatCode>
                <c:ptCount val="10"/>
                <c:pt idx="0">
                  <c:v>6</c:v>
                </c:pt>
                <c:pt idx="1">
                  <c:v>7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13</c:v>
                </c:pt>
                <c:pt idx="8">
                  <c:v>14</c:v>
                </c:pt>
                <c:pt idx="9">
                  <c:v>15</c:v>
                </c:pt>
              </c:numCache>
            </c:numRef>
          </c:cat>
          <c:val>
            <c:numRef>
              <c:f>MRR!$K$34:$T$34</c:f>
              <c:numCache>
                <c:formatCode>0.00%</c:formatCode>
                <c:ptCount val="10"/>
                <c:pt idx="0">
                  <c:v>0.15428581039202913</c:v>
                </c:pt>
                <c:pt idx="1">
                  <c:v>0.15557533243171998</c:v>
                </c:pt>
                <c:pt idx="2">
                  <c:v>0.15645626650869704</c:v>
                </c:pt>
                <c:pt idx="3">
                  <c:v>0.15694446315924271</c:v>
                </c:pt>
                <c:pt idx="4">
                  <c:v>0.15709125622811615</c:v>
                </c:pt>
                <c:pt idx="5">
                  <c:v>0.1569224558774843</c:v>
                </c:pt>
                <c:pt idx="6">
                  <c:v>0.15648250340765588</c:v>
                </c:pt>
                <c:pt idx="7">
                  <c:v>0.15578617768912875</c:v>
                </c:pt>
                <c:pt idx="8">
                  <c:v>0.15487860904190789</c:v>
                </c:pt>
                <c:pt idx="9">
                  <c:v>0.15377006094998488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542-4811-972A-7E865B1CAE41}"/>
            </c:ext>
          </c:extLst>
        </c:ser>
        <c:ser>
          <c:idx val="1"/>
          <c:order val="1"/>
          <c:tx>
            <c:v>IRR[1]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MRR!$K$3:$T$3</c:f>
              <c:numCache>
                <c:formatCode>General</c:formatCode>
                <c:ptCount val="10"/>
                <c:pt idx="0">
                  <c:v>6</c:v>
                </c:pt>
                <c:pt idx="1">
                  <c:v>7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13</c:v>
                </c:pt>
                <c:pt idx="8">
                  <c:v>14</c:v>
                </c:pt>
                <c:pt idx="9">
                  <c:v>15</c:v>
                </c:pt>
              </c:numCache>
            </c:numRef>
          </c:cat>
          <c:val>
            <c:numRef>
              <c:f>MRR!$K$35:$T$35</c:f>
            </c:numRef>
          </c:val>
          <c:smooth val="0"/>
          <c:extLst>
            <c:ext xmlns:c16="http://schemas.microsoft.com/office/drawing/2014/chart" uri="{C3380CC4-5D6E-409C-BE32-E72D297353CC}">
              <c16:uniqueId val="{00000001-7542-4811-972A-7E865B1CAE41}"/>
            </c:ext>
          </c:extLst>
        </c:ser>
        <c:ser>
          <c:idx val="2"/>
          <c:order val="2"/>
          <c:tx>
            <c:v>IRR[2]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MRR!$K$3:$T$3</c:f>
              <c:numCache>
                <c:formatCode>General</c:formatCode>
                <c:ptCount val="10"/>
                <c:pt idx="0">
                  <c:v>6</c:v>
                </c:pt>
                <c:pt idx="1">
                  <c:v>7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13</c:v>
                </c:pt>
                <c:pt idx="8">
                  <c:v>14</c:v>
                </c:pt>
                <c:pt idx="9">
                  <c:v>15</c:v>
                </c:pt>
              </c:numCache>
            </c:numRef>
          </c:cat>
          <c:val>
            <c:numRef>
              <c:f>MRR!$K$36:$T$36</c:f>
              <c:numCache>
                <c:formatCode>0.00%</c:formatCode>
                <c:ptCount val="10"/>
                <c:pt idx="0">
                  <c:v>0.155</c:v>
                </c:pt>
                <c:pt idx="1">
                  <c:v>0.15515499999999999</c:v>
                </c:pt>
                <c:pt idx="2">
                  <c:v>0.15531015499999998</c:v>
                </c:pt>
                <c:pt idx="3">
                  <c:v>0.15546546515499995</c:v>
                </c:pt>
                <c:pt idx="4">
                  <c:v>0.15562093062015495</c:v>
                </c:pt>
                <c:pt idx="5">
                  <c:v>0.15577655155077508</c:v>
                </c:pt>
                <c:pt idx="6">
                  <c:v>0.15593232810232582</c:v>
                </c:pt>
                <c:pt idx="7">
                  <c:v>0.15608826043042814</c:v>
                </c:pt>
                <c:pt idx="8">
                  <c:v>0.15624434869085854</c:v>
                </c:pt>
                <c:pt idx="9">
                  <c:v>0.1564005930395494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542-4811-972A-7E865B1CAE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20311423"/>
        <c:axId val="1320299423"/>
      </c:lineChart>
      <c:catAx>
        <c:axId val="132031142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0299423"/>
        <c:crosses val="autoZero"/>
        <c:auto val="1"/>
        <c:lblAlgn val="ctr"/>
        <c:lblOffset val="100"/>
        <c:noMultiLvlLbl val="0"/>
      </c:catAx>
      <c:valAx>
        <c:axId val="1320299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IRR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03114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68580</xdr:colOff>
      <xdr:row>36</xdr:row>
      <xdr:rowOff>60960</xdr:rowOff>
    </xdr:from>
    <xdr:to>
      <xdr:col>20</xdr:col>
      <xdr:colOff>7620</xdr:colOff>
      <xdr:row>50</xdr:row>
      <xdr:rowOff>60960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B077D42-058B-226D-3140-23DBB7BEF66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O42"/>
  <sheetViews>
    <sheetView showGridLines="0" topLeftCell="B1" workbookViewId="0">
      <selection activeCell="F7" sqref="F7"/>
    </sheetView>
  </sheetViews>
  <sheetFormatPr defaultRowHeight="14.4" x14ac:dyDescent="0.3"/>
  <cols>
    <col min="1" max="1" width="4" customWidth="1"/>
    <col min="2" max="2" width="18.77734375" customWidth="1"/>
    <col min="3" max="3" width="11.21875" bestFit="1" customWidth="1"/>
    <col min="4" max="4" width="9.5546875" customWidth="1"/>
    <col min="5" max="5" width="26.88671875" customWidth="1"/>
    <col min="6" max="15" width="11.33203125" customWidth="1"/>
    <col min="17" max="17" width="9.5546875" bestFit="1" customWidth="1"/>
    <col min="2002" max="2002" width="2.5546875" customWidth="1"/>
  </cols>
  <sheetData>
    <row r="1" spans="2:15" ht="6.6" customHeight="1" thickBot="1" x14ac:dyDescent="0.35"/>
    <row r="2" spans="2:15" ht="15" thickBot="1" x14ac:dyDescent="0.35">
      <c r="B2" s="53" t="s">
        <v>18</v>
      </c>
      <c r="C2" s="54"/>
      <c r="E2" s="72" t="s">
        <v>46</v>
      </c>
      <c r="F2" s="73"/>
      <c r="G2" s="73"/>
      <c r="H2" s="73"/>
      <c r="I2" s="73"/>
      <c r="J2" s="74"/>
      <c r="K2" s="72" t="s">
        <v>47</v>
      </c>
      <c r="L2" s="73"/>
      <c r="M2" s="73"/>
      <c r="N2" s="73"/>
      <c r="O2" s="74"/>
    </row>
    <row r="3" spans="2:15" ht="15" thickBot="1" x14ac:dyDescent="0.35">
      <c r="B3" s="23" t="s">
        <v>19</v>
      </c>
      <c r="C3" s="55">
        <v>160000</v>
      </c>
      <c r="E3" s="19" t="s">
        <v>29</v>
      </c>
      <c r="F3" s="1" cm="1">
        <f t="array" ref="F3:J3">_xlfn.SEQUENCE(1,5)</f>
        <v>1</v>
      </c>
      <c r="G3" s="1">
        <v>2</v>
      </c>
      <c r="H3" s="1">
        <v>3</v>
      </c>
      <c r="I3" s="1">
        <v>4</v>
      </c>
      <c r="J3" s="20">
        <v>5</v>
      </c>
      <c r="K3" s="39">
        <f>J3+1</f>
        <v>6</v>
      </c>
      <c r="L3" s="18">
        <f>K3+1</f>
        <v>7</v>
      </c>
      <c r="M3" s="18">
        <f t="shared" ref="M3:O3" si="0">L3+1</f>
        <v>8</v>
      </c>
      <c r="N3" s="18">
        <f t="shared" si="0"/>
        <v>9</v>
      </c>
      <c r="O3" s="40">
        <f t="shared" si="0"/>
        <v>10</v>
      </c>
    </row>
    <row r="4" spans="2:15" x14ac:dyDescent="0.3">
      <c r="B4" s="23" t="s">
        <v>20</v>
      </c>
      <c r="C4" s="55">
        <v>40000</v>
      </c>
      <c r="E4" s="21" t="s">
        <v>0</v>
      </c>
      <c r="F4" s="10"/>
      <c r="G4" s="10"/>
      <c r="H4" s="10"/>
      <c r="I4" s="10"/>
      <c r="J4" s="22"/>
      <c r="K4" s="41">
        <v>0.04</v>
      </c>
      <c r="L4" s="42">
        <v>0.03</v>
      </c>
      <c r="M4" s="42">
        <f>L4</f>
        <v>0.03</v>
      </c>
      <c r="N4" s="42">
        <f t="shared" ref="N4:O4" si="1">M4</f>
        <v>0.03</v>
      </c>
      <c r="O4" s="43">
        <f t="shared" si="1"/>
        <v>0.03</v>
      </c>
    </row>
    <row r="5" spans="2:15" x14ac:dyDescent="0.3">
      <c r="B5" s="23" t="s">
        <v>21</v>
      </c>
      <c r="C5" s="55">
        <f>SUM(C3:C4)</f>
        <v>200000</v>
      </c>
      <c r="E5" s="23" t="s">
        <v>7</v>
      </c>
      <c r="F5" s="11">
        <f>C12</f>
        <v>19500</v>
      </c>
      <c r="G5" s="12">
        <f>F5*(1+$C$13)</f>
        <v>20280</v>
      </c>
      <c r="H5" s="12">
        <f>G5*(1+$C$13)</f>
        <v>21091.200000000001</v>
      </c>
      <c r="I5" s="12">
        <f>H5*(1+$C$13)</f>
        <v>21934.848000000002</v>
      </c>
      <c r="J5" s="24">
        <f>I5*(1+$C$13)</f>
        <v>22812.241920000004</v>
      </c>
      <c r="K5" s="44">
        <f>J5*(1+$C$13)</f>
        <v>23724.731596800004</v>
      </c>
      <c r="L5" s="12">
        <f>K5*(1+L4)</f>
        <v>24436.473544704004</v>
      </c>
      <c r="M5" s="12">
        <f t="shared" ref="M5:O5" si="2">L5*(1+M4)</f>
        <v>25169.567751045124</v>
      </c>
      <c r="N5" s="12">
        <f t="shared" si="2"/>
        <v>25924.65478357648</v>
      </c>
      <c r="O5" s="24">
        <f t="shared" si="2"/>
        <v>26702.394427083775</v>
      </c>
    </row>
    <row r="6" spans="2:15" x14ac:dyDescent="0.3">
      <c r="B6" s="21" t="s">
        <v>22</v>
      </c>
      <c r="C6" s="56"/>
      <c r="E6" s="25" t="s">
        <v>39</v>
      </c>
      <c r="F6" s="5">
        <f>-PMT(C9/12,25*12,-C8)*12</f>
        <v>-17642.035384501487</v>
      </c>
      <c r="G6" s="2">
        <f>F6</f>
        <v>-17642.035384501487</v>
      </c>
      <c r="H6" s="2">
        <f t="shared" ref="H6:J6" si="3">G6</f>
        <v>-17642.035384501487</v>
      </c>
      <c r="I6" s="2">
        <f t="shared" si="3"/>
        <v>-17642.035384501487</v>
      </c>
      <c r="J6" s="26">
        <f t="shared" si="3"/>
        <v>-17642.035384501487</v>
      </c>
      <c r="K6" s="45">
        <f>J6</f>
        <v>-17642.035384501487</v>
      </c>
      <c r="L6" s="2">
        <f t="shared" ref="L6:O6" si="4">K6</f>
        <v>-17642.035384501487</v>
      </c>
      <c r="M6" s="2">
        <f t="shared" si="4"/>
        <v>-17642.035384501487</v>
      </c>
      <c r="N6" s="2">
        <f t="shared" si="4"/>
        <v>-17642.035384501487</v>
      </c>
      <c r="O6" s="26">
        <f t="shared" si="4"/>
        <v>-17642.035384501487</v>
      </c>
    </row>
    <row r="7" spans="2:15" ht="15" thickBot="1" x14ac:dyDescent="0.35">
      <c r="B7" s="23" t="s">
        <v>34</v>
      </c>
      <c r="C7" s="57">
        <v>0.75</v>
      </c>
      <c r="E7" s="27" t="s">
        <v>0</v>
      </c>
      <c r="F7" s="3">
        <f>SUM(F5:F6)</f>
        <v>1857.964615498513</v>
      </c>
      <c r="G7" s="3">
        <f t="shared" ref="G7:J7" si="5">SUM(G5:G6)</f>
        <v>2637.964615498513</v>
      </c>
      <c r="H7" s="3">
        <f t="shared" si="5"/>
        <v>3449.1646154985137</v>
      </c>
      <c r="I7" s="3">
        <f t="shared" si="5"/>
        <v>4292.8126154985148</v>
      </c>
      <c r="J7" s="28">
        <f t="shared" si="5"/>
        <v>5170.206535498517</v>
      </c>
      <c r="K7" s="46">
        <f>SUM(K5:K6)</f>
        <v>6082.6962122985169</v>
      </c>
      <c r="L7" s="3">
        <f t="shared" ref="L7:O7" si="6">SUM(L5:L6)</f>
        <v>6794.4381602025169</v>
      </c>
      <c r="M7" s="3">
        <f t="shared" si="6"/>
        <v>7527.5323665436372</v>
      </c>
      <c r="N7" s="3">
        <f t="shared" si="6"/>
        <v>8282.6193990749925</v>
      </c>
      <c r="O7" s="28">
        <f t="shared" si="6"/>
        <v>9060.3590425822877</v>
      </c>
    </row>
    <row r="8" spans="2:15" x14ac:dyDescent="0.3">
      <c r="B8" s="23" t="s">
        <v>23</v>
      </c>
      <c r="C8" s="58">
        <f>C7*C5</f>
        <v>150000</v>
      </c>
      <c r="E8" s="21" t="s">
        <v>2</v>
      </c>
      <c r="F8" s="13"/>
      <c r="G8" s="13"/>
      <c r="H8" s="13"/>
      <c r="I8" s="13"/>
      <c r="J8" s="29"/>
      <c r="K8" s="47"/>
      <c r="L8" s="13"/>
      <c r="M8" s="13"/>
      <c r="N8" s="13"/>
      <c r="O8" s="29"/>
    </row>
    <row r="9" spans="2:15" x14ac:dyDescent="0.3">
      <c r="B9" s="23" t="s">
        <v>24</v>
      </c>
      <c r="C9" s="59">
        <v>0.11</v>
      </c>
      <c r="E9" s="23" t="str">
        <f>E5</f>
        <v>Net Operation Income (NOI)</v>
      </c>
      <c r="F9" s="11">
        <f>F5</f>
        <v>19500</v>
      </c>
      <c r="G9" s="11">
        <f t="shared" ref="G9:I9" si="7">G5</f>
        <v>20280</v>
      </c>
      <c r="H9" s="11">
        <f t="shared" si="7"/>
        <v>21091.200000000001</v>
      </c>
      <c r="I9" s="11">
        <f t="shared" si="7"/>
        <v>21934.848000000002</v>
      </c>
      <c r="J9" s="30">
        <f>J5</f>
        <v>22812.241920000004</v>
      </c>
      <c r="K9" s="48">
        <f>K5</f>
        <v>23724.731596800004</v>
      </c>
      <c r="L9" s="11">
        <f t="shared" ref="L9:O9" si="8">L5</f>
        <v>24436.473544704004</v>
      </c>
      <c r="M9" s="11">
        <f t="shared" si="8"/>
        <v>25169.567751045124</v>
      </c>
      <c r="N9" s="11">
        <f t="shared" si="8"/>
        <v>25924.65478357648</v>
      </c>
      <c r="O9" s="30">
        <f t="shared" si="8"/>
        <v>26702.394427083775</v>
      </c>
    </row>
    <row r="10" spans="2:15" x14ac:dyDescent="0.3">
      <c r="B10" s="23" t="s">
        <v>25</v>
      </c>
      <c r="C10" s="60" t="s">
        <v>37</v>
      </c>
      <c r="E10" s="23" t="s">
        <v>38</v>
      </c>
      <c r="F10" s="11">
        <v>-16441</v>
      </c>
      <c r="G10" s="12">
        <v>-16302</v>
      </c>
      <c r="H10" s="12">
        <v>-16146</v>
      </c>
      <c r="I10" s="12">
        <v>-15973</v>
      </c>
      <c r="J10" s="24">
        <v>-15780</v>
      </c>
      <c r="K10" s="44">
        <v>-15565</v>
      </c>
      <c r="L10" s="12">
        <v>-15325</v>
      </c>
      <c r="M10" s="12">
        <v>-15056</v>
      </c>
      <c r="N10" s="12">
        <v>-14757</v>
      </c>
      <c r="O10" s="24">
        <v>-14423</v>
      </c>
    </row>
    <row r="11" spans="2:15" x14ac:dyDescent="0.3">
      <c r="B11" s="21" t="s">
        <v>26</v>
      </c>
      <c r="C11" s="61"/>
      <c r="E11" s="25" t="s">
        <v>3</v>
      </c>
      <c r="F11" s="2">
        <f>-C3/C16</f>
        <v>-8421.0526315789466</v>
      </c>
      <c r="G11" s="2">
        <f>F11</f>
        <v>-8421.0526315789466</v>
      </c>
      <c r="H11" s="2">
        <f t="shared" ref="H11:J11" si="9">G11</f>
        <v>-8421.0526315789466</v>
      </c>
      <c r="I11" s="2">
        <f t="shared" si="9"/>
        <v>-8421.0526315789466</v>
      </c>
      <c r="J11" s="26">
        <f t="shared" si="9"/>
        <v>-8421.0526315789466</v>
      </c>
      <c r="K11" s="45">
        <f>J11</f>
        <v>-8421.0526315789466</v>
      </c>
      <c r="L11" s="2">
        <f t="shared" ref="L11:O11" si="10">K11</f>
        <v>-8421.0526315789466</v>
      </c>
      <c r="M11" s="2">
        <f t="shared" si="10"/>
        <v>-8421.0526315789466</v>
      </c>
      <c r="N11" s="2">
        <f t="shared" si="10"/>
        <v>-8421.0526315789466</v>
      </c>
      <c r="O11" s="26">
        <f t="shared" si="10"/>
        <v>-8421.0526315789466</v>
      </c>
    </row>
    <row r="12" spans="2:15" ht="15" thickBot="1" x14ac:dyDescent="0.35">
      <c r="B12" s="23" t="s">
        <v>1</v>
      </c>
      <c r="C12" s="55">
        <v>19500</v>
      </c>
      <c r="E12" s="27" t="s">
        <v>40</v>
      </c>
      <c r="F12" s="3">
        <f>SUM(F9:F11)</f>
        <v>-5362.0526315789466</v>
      </c>
      <c r="G12" s="3">
        <f>SUM(G9:G11)</f>
        <v>-4443.0526315789466</v>
      </c>
      <c r="H12" s="3">
        <f t="shared" ref="H12:K12" si="11">SUM(H9:H11)</f>
        <v>-3475.8526315789459</v>
      </c>
      <c r="I12" s="3">
        <f t="shared" si="11"/>
        <v>-2459.2046315789448</v>
      </c>
      <c r="J12" s="28">
        <f t="shared" si="11"/>
        <v>-1388.8107115789426</v>
      </c>
      <c r="K12" s="46">
        <f t="shared" si="11"/>
        <v>-261.3210347789427</v>
      </c>
      <c r="L12" s="3">
        <f t="shared" ref="L12" si="12">SUM(L9:L11)</f>
        <v>690.42091312505727</v>
      </c>
      <c r="M12" s="3">
        <f t="shared" ref="M12" si="13">SUM(M9:M11)</f>
        <v>1692.5151194661776</v>
      </c>
      <c r="N12" s="3">
        <f t="shared" ref="N12" si="14">SUM(N9:N11)</f>
        <v>2746.6021519975329</v>
      </c>
      <c r="O12" s="28">
        <f t="shared" ref="O12" si="15">SUM(O9:O11)</f>
        <v>3858.341795504828</v>
      </c>
    </row>
    <row r="13" spans="2:15" x14ac:dyDescent="0.3">
      <c r="B13" s="23" t="s">
        <v>36</v>
      </c>
      <c r="C13" s="57">
        <v>0.04</v>
      </c>
      <c r="E13" s="25" t="s">
        <v>4</v>
      </c>
      <c r="F13" s="6">
        <f>F12*$C$14</f>
        <v>-2681.0263157894733</v>
      </c>
      <c r="G13" s="6">
        <f>G12*$C$14</f>
        <v>-2221.5263157894733</v>
      </c>
      <c r="H13" s="6">
        <f>H12*$C$14</f>
        <v>-1737.9263157894729</v>
      </c>
      <c r="I13" s="6">
        <f>I12*$C$14</f>
        <v>-1229.6023157894724</v>
      </c>
      <c r="J13" s="31">
        <f>J12*$C$14</f>
        <v>-694.40535578947129</v>
      </c>
      <c r="K13" s="49">
        <f>K12*$C$15</f>
        <v>-73.169889738103961</v>
      </c>
      <c r="L13" s="6">
        <f t="shared" ref="L13:O13" si="16">L12*$C$15</f>
        <v>193.31785567501606</v>
      </c>
      <c r="M13" s="6">
        <f t="shared" si="16"/>
        <v>473.90423345052977</v>
      </c>
      <c r="N13" s="6">
        <f t="shared" si="16"/>
        <v>769.0486025593093</v>
      </c>
      <c r="O13" s="31">
        <f t="shared" si="16"/>
        <v>1080.335702741352</v>
      </c>
    </row>
    <row r="14" spans="2:15" x14ac:dyDescent="0.3">
      <c r="B14" s="23" t="s">
        <v>27</v>
      </c>
      <c r="C14" s="59">
        <v>0.5</v>
      </c>
      <c r="E14" s="21" t="s">
        <v>5</v>
      </c>
      <c r="F14" s="13"/>
      <c r="G14" s="13"/>
      <c r="H14" s="13"/>
      <c r="I14" s="13"/>
      <c r="J14" s="29"/>
      <c r="K14" s="47"/>
      <c r="L14" s="13"/>
      <c r="M14" s="13"/>
      <c r="N14" s="13"/>
      <c r="O14" s="29"/>
    </row>
    <row r="15" spans="2:15" x14ac:dyDescent="0.3">
      <c r="B15" s="23" t="s">
        <v>44</v>
      </c>
      <c r="C15" s="57">
        <v>0.28000000000000003</v>
      </c>
      <c r="E15" s="23" t="s">
        <v>8</v>
      </c>
      <c r="F15" s="12">
        <f t="shared" ref="F15:K15" si="17">F7</f>
        <v>1857.964615498513</v>
      </c>
      <c r="G15" s="12">
        <f t="shared" si="17"/>
        <v>2637.964615498513</v>
      </c>
      <c r="H15" s="12">
        <f t="shared" si="17"/>
        <v>3449.1646154985137</v>
      </c>
      <c r="I15" s="12">
        <f t="shared" si="17"/>
        <v>4292.8126154985148</v>
      </c>
      <c r="J15" s="24">
        <f t="shared" si="17"/>
        <v>5170.206535498517</v>
      </c>
      <c r="K15" s="44">
        <f t="shared" si="17"/>
        <v>6082.6962122985169</v>
      </c>
      <c r="L15" s="12">
        <f t="shared" ref="L15:O15" si="18">L7</f>
        <v>6794.4381602025169</v>
      </c>
      <c r="M15" s="12">
        <f t="shared" si="18"/>
        <v>7527.5323665436372</v>
      </c>
      <c r="N15" s="12">
        <f t="shared" si="18"/>
        <v>8282.6193990749925</v>
      </c>
      <c r="O15" s="24">
        <f t="shared" si="18"/>
        <v>9060.3590425822877</v>
      </c>
    </row>
    <row r="16" spans="2:15" x14ac:dyDescent="0.3">
      <c r="B16" s="23" t="s">
        <v>35</v>
      </c>
      <c r="C16" s="60">
        <v>19</v>
      </c>
      <c r="E16" s="23" t="s">
        <v>6</v>
      </c>
      <c r="F16" s="12">
        <f>-F13</f>
        <v>2681.0263157894733</v>
      </c>
      <c r="G16" s="12">
        <f t="shared" ref="G16:J16" si="19">-G13</f>
        <v>2221.5263157894733</v>
      </c>
      <c r="H16" s="12">
        <f t="shared" si="19"/>
        <v>1737.9263157894729</v>
      </c>
      <c r="I16" s="12">
        <f t="shared" si="19"/>
        <v>1229.6023157894724</v>
      </c>
      <c r="J16" s="24">
        <f t="shared" si="19"/>
        <v>694.40535578947129</v>
      </c>
      <c r="K16" s="44">
        <f t="shared" ref="K16:O16" si="20">-K13</f>
        <v>73.169889738103961</v>
      </c>
      <c r="L16" s="12">
        <f t="shared" si="20"/>
        <v>-193.31785567501606</v>
      </c>
      <c r="M16" s="12">
        <f t="shared" si="20"/>
        <v>-473.90423345052977</v>
      </c>
      <c r="N16" s="12">
        <f t="shared" si="20"/>
        <v>-769.0486025593093</v>
      </c>
      <c r="O16" s="24">
        <f t="shared" si="20"/>
        <v>-1080.335702741352</v>
      </c>
    </row>
    <row r="17" spans="2:15" ht="15" thickBot="1" x14ac:dyDescent="0.35">
      <c r="B17" s="19" t="s">
        <v>28</v>
      </c>
      <c r="C17" s="62">
        <v>250000</v>
      </c>
      <c r="E17" s="27" t="s">
        <v>9</v>
      </c>
      <c r="F17" s="3">
        <f>SUM(F15:F16)</f>
        <v>4538.9909312879863</v>
      </c>
      <c r="G17" s="3">
        <f t="shared" ref="G17:J17" si="21">SUM(G15:G16)</f>
        <v>4859.4909312879863</v>
      </c>
      <c r="H17" s="3">
        <f t="shared" si="21"/>
        <v>5187.0909312879867</v>
      </c>
      <c r="I17" s="3">
        <f t="shared" si="21"/>
        <v>5522.4149312879872</v>
      </c>
      <c r="J17" s="28">
        <f t="shared" si="21"/>
        <v>5864.6118912879883</v>
      </c>
      <c r="K17" s="46">
        <f t="shared" ref="K17:O17" si="22">SUM(K15:K16)</f>
        <v>6155.8661020366208</v>
      </c>
      <c r="L17" s="3">
        <f t="shared" si="22"/>
        <v>6601.1203045275006</v>
      </c>
      <c r="M17" s="3">
        <f t="shared" si="22"/>
        <v>7053.628133093107</v>
      </c>
      <c r="N17" s="3">
        <f t="shared" si="22"/>
        <v>7513.5707965156835</v>
      </c>
      <c r="O17" s="28">
        <f t="shared" si="22"/>
        <v>7980.0233398409355</v>
      </c>
    </row>
    <row r="18" spans="2:15" ht="15" thickBot="1" x14ac:dyDescent="0.35">
      <c r="E18" s="32" t="s">
        <v>30</v>
      </c>
      <c r="F18" s="7"/>
      <c r="G18" s="7"/>
      <c r="H18" s="7"/>
      <c r="I18" s="7"/>
      <c r="J18" s="33"/>
      <c r="K18" s="32"/>
      <c r="L18" s="7"/>
      <c r="M18" s="7"/>
      <c r="N18" s="7"/>
      <c r="O18" s="33"/>
    </row>
    <row r="19" spans="2:15" x14ac:dyDescent="0.3">
      <c r="C19" s="9"/>
      <c r="E19" s="23" t="s">
        <v>10</v>
      </c>
      <c r="F19" s="14"/>
      <c r="G19" s="12"/>
      <c r="H19" s="12"/>
      <c r="I19" s="12"/>
      <c r="J19" s="24">
        <f>C17</f>
        <v>250000</v>
      </c>
      <c r="K19" s="50"/>
      <c r="L19" s="12"/>
      <c r="M19" s="12"/>
      <c r="N19" s="12"/>
      <c r="O19" s="24">
        <f>J19*(1+3%)^5</f>
        <v>289818.51857499994</v>
      </c>
    </row>
    <row r="20" spans="2:15" x14ac:dyDescent="0.3">
      <c r="E20" s="23" t="s">
        <v>41</v>
      </c>
      <c r="F20" s="14"/>
      <c r="G20" s="12"/>
      <c r="H20" s="12"/>
      <c r="I20" s="12"/>
      <c r="J20" s="24">
        <f>J19*-6%</f>
        <v>-15000</v>
      </c>
      <c r="K20" s="50"/>
      <c r="L20" s="12"/>
      <c r="M20" s="12"/>
      <c r="N20" s="12"/>
      <c r="O20" s="24">
        <f>O19*-6%</f>
        <v>-17389.111114499996</v>
      </c>
    </row>
    <row r="21" spans="2:15" x14ac:dyDescent="0.3">
      <c r="C21" s="4"/>
      <c r="E21" s="23" t="s">
        <v>31</v>
      </c>
      <c r="F21" s="15"/>
      <c r="G21" s="15"/>
      <c r="H21" s="12"/>
      <c r="I21" s="12"/>
      <c r="J21" s="24">
        <f>-C8-(SUM(F6:J6)-SUM(F10:J10))</f>
        <v>-142431.82307749256</v>
      </c>
      <c r="K21" s="51"/>
      <c r="L21" s="15"/>
      <c r="M21" s="12"/>
      <c r="N21" s="12"/>
      <c r="O21" s="24">
        <f>-C8-(SUM(F6:O6)-SUM(F10:O10))</f>
        <v>-129347.64615498515</v>
      </c>
    </row>
    <row r="22" spans="2:15" ht="15" thickBot="1" x14ac:dyDescent="0.35">
      <c r="E22" s="23" t="s">
        <v>11</v>
      </c>
      <c r="F22" s="12"/>
      <c r="G22" s="12"/>
      <c r="H22" s="12"/>
      <c r="I22" s="12"/>
      <c r="J22" s="28">
        <f>SUM(J19:J21)</f>
        <v>92568.176922507439</v>
      </c>
      <c r="K22" s="44"/>
      <c r="L22" s="12"/>
      <c r="M22" s="12"/>
      <c r="N22" s="12"/>
      <c r="O22" s="28">
        <f>SUM(O19:O21)</f>
        <v>143081.76130551481</v>
      </c>
    </row>
    <row r="23" spans="2:15" x14ac:dyDescent="0.3">
      <c r="E23" s="23" t="s">
        <v>12</v>
      </c>
      <c r="F23" s="12"/>
      <c r="G23" s="12"/>
      <c r="H23" s="12"/>
      <c r="I23" s="12"/>
      <c r="J23" s="24"/>
      <c r="K23" s="44"/>
      <c r="L23" s="12"/>
      <c r="M23" s="12"/>
      <c r="N23" s="12"/>
      <c r="O23" s="24"/>
    </row>
    <row r="24" spans="2:15" x14ac:dyDescent="0.3">
      <c r="E24" s="23" t="s">
        <v>42</v>
      </c>
      <c r="F24" s="12"/>
      <c r="G24" s="12"/>
      <c r="H24" s="12"/>
      <c r="I24" s="12">
        <f>SUM(J19:J20)</f>
        <v>235000</v>
      </c>
      <c r="J24" s="24"/>
      <c r="K24" s="44"/>
      <c r="L24" s="12"/>
      <c r="M24" s="12"/>
      <c r="N24" s="12">
        <f>O19+O20</f>
        <v>272429.40746049996</v>
      </c>
      <c r="O24" s="24"/>
    </row>
    <row r="25" spans="2:15" x14ac:dyDescent="0.3">
      <c r="E25" s="23" t="s">
        <v>13</v>
      </c>
      <c r="F25" s="12"/>
      <c r="G25" s="12"/>
      <c r="H25" s="12">
        <f>-C5</f>
        <v>-200000</v>
      </c>
      <c r="I25" s="12"/>
      <c r="J25" s="24"/>
      <c r="K25" s="44"/>
      <c r="L25" s="12"/>
      <c r="M25" s="12">
        <f>H25</f>
        <v>-200000</v>
      </c>
      <c r="N25" s="12"/>
      <c r="O25" s="24"/>
    </row>
    <row r="26" spans="2:15" x14ac:dyDescent="0.3">
      <c r="E26" s="23" t="s">
        <v>14</v>
      </c>
      <c r="F26" s="12"/>
      <c r="G26" s="12"/>
      <c r="H26" s="12">
        <f>-SUM(F11:J11)</f>
        <v>42105.263157894733</v>
      </c>
      <c r="I26" s="12"/>
      <c r="J26" s="24"/>
      <c r="K26" s="44"/>
      <c r="L26" s="12"/>
      <c r="M26" s="12">
        <f>-SUM(F11:O11)</f>
        <v>84210.526315789466</v>
      </c>
      <c r="N26" s="12"/>
      <c r="O26" s="24"/>
    </row>
    <row r="27" spans="2:15" x14ac:dyDescent="0.3">
      <c r="E27" s="23" t="s">
        <v>15</v>
      </c>
      <c r="F27" s="12"/>
      <c r="G27" s="12"/>
      <c r="H27" s="12"/>
      <c r="I27" s="12">
        <f>H25+H26</f>
        <v>-157894.73684210528</v>
      </c>
      <c r="J27" s="24"/>
      <c r="K27" s="44"/>
      <c r="L27" s="12"/>
      <c r="M27" s="12"/>
      <c r="N27" s="12">
        <f>M25+M26</f>
        <v>-115789.47368421053</v>
      </c>
      <c r="O27" s="24"/>
    </row>
    <row r="28" spans="2:15" ht="15" thickBot="1" x14ac:dyDescent="0.35">
      <c r="E28" s="23" t="s">
        <v>16</v>
      </c>
      <c r="F28" s="12"/>
      <c r="G28" s="12"/>
      <c r="H28" s="12"/>
      <c r="I28" s="3">
        <f>SUM(I24:I27)</f>
        <v>77105.263157894718</v>
      </c>
      <c r="J28" s="24"/>
      <c r="K28" s="44"/>
      <c r="L28" s="12"/>
      <c r="M28" s="12"/>
      <c r="N28" s="3">
        <f>SUM(N24:N27)</f>
        <v>156639.93377628943</v>
      </c>
      <c r="O28" s="24"/>
    </row>
    <row r="29" spans="2:15" x14ac:dyDescent="0.3">
      <c r="E29" s="23" t="s">
        <v>43</v>
      </c>
      <c r="F29" s="12"/>
      <c r="G29" s="12"/>
      <c r="H29" s="12"/>
      <c r="I29" s="12"/>
      <c r="J29" s="24">
        <f>-I28*28%</f>
        <v>-21589.473684210523</v>
      </c>
      <c r="K29" s="44"/>
      <c r="L29" s="12"/>
      <c r="M29" s="12"/>
      <c r="N29" s="12"/>
      <c r="O29" s="24">
        <f>-N28*28%</f>
        <v>-43859.181457361046</v>
      </c>
    </row>
    <row r="30" spans="2:15" ht="15" thickBot="1" x14ac:dyDescent="0.35">
      <c r="E30" s="27" t="s">
        <v>17</v>
      </c>
      <c r="F30" s="3"/>
      <c r="G30" s="3"/>
      <c r="H30" s="3"/>
      <c r="I30" s="3"/>
      <c r="J30" s="28">
        <f>SUM(J22:J29)</f>
        <v>70978.703238296919</v>
      </c>
      <c r="K30" s="46"/>
      <c r="L30" s="3"/>
      <c r="M30" s="3"/>
      <c r="N30" s="3"/>
      <c r="O30" s="28">
        <f>SUM(O22:O29)</f>
        <v>99222.579848153764</v>
      </c>
    </row>
    <row r="32" spans="2:15" ht="15" thickBot="1" x14ac:dyDescent="0.35"/>
    <row r="33" spans="4:15" x14ac:dyDescent="0.3">
      <c r="D33" s="34"/>
      <c r="E33" s="37">
        <v>0</v>
      </c>
      <c r="F33" s="37" cm="1">
        <f t="array" ref="F33:J33">_xlfn.SEQUENCE(1,5)</f>
        <v>1</v>
      </c>
      <c r="G33" s="37">
        <v>2</v>
      </c>
      <c r="H33" s="37">
        <v>3</v>
      </c>
      <c r="I33" s="37">
        <v>4</v>
      </c>
      <c r="J33" s="38">
        <v>5</v>
      </c>
    </row>
    <row r="34" spans="4:15" x14ac:dyDescent="0.3">
      <c r="D34" s="23" t="s">
        <v>11</v>
      </c>
      <c r="E34" s="16">
        <f>-(C5-C8)</f>
        <v>-50000</v>
      </c>
      <c r="F34" s="16">
        <f>F15</f>
        <v>1857.964615498513</v>
      </c>
      <c r="G34" s="16">
        <f>G15</f>
        <v>2637.964615498513</v>
      </c>
      <c r="H34" s="16">
        <f>H15</f>
        <v>3449.1646154985137</v>
      </c>
      <c r="I34" s="16">
        <f>I15</f>
        <v>4292.8126154985148</v>
      </c>
      <c r="J34" s="36">
        <f>J15+J22</f>
        <v>97738.383458005963</v>
      </c>
    </row>
    <row r="35" spans="4:15" x14ac:dyDescent="0.3">
      <c r="D35" s="23" t="s">
        <v>32</v>
      </c>
      <c r="E35" s="17">
        <f>IRR(E34:J34)</f>
        <v>0.18256075377393199</v>
      </c>
      <c r="J35" s="35"/>
    </row>
    <row r="36" spans="4:15" x14ac:dyDescent="0.3">
      <c r="D36" s="23" t="s">
        <v>17</v>
      </c>
      <c r="E36" s="16">
        <f>E34</f>
        <v>-50000</v>
      </c>
      <c r="F36" s="16">
        <f>F17</f>
        <v>4538.9909312879863</v>
      </c>
      <c r="G36" s="16">
        <f>G17</f>
        <v>4859.4909312879863</v>
      </c>
      <c r="H36" s="16">
        <f>H17</f>
        <v>5187.0909312879867</v>
      </c>
      <c r="I36" s="16">
        <f>I17</f>
        <v>5522.4149312879872</v>
      </c>
      <c r="J36" s="36">
        <f>J17+J30</f>
        <v>76843.315129584909</v>
      </c>
    </row>
    <row r="37" spans="4:15" ht="15" thickBot="1" x14ac:dyDescent="0.35">
      <c r="D37" s="19" t="s">
        <v>33</v>
      </c>
      <c r="E37" s="8">
        <f>IRR(E36:J36)</f>
        <v>0.16261060673329331</v>
      </c>
      <c r="F37" s="1"/>
      <c r="G37" s="1"/>
      <c r="H37" s="1"/>
      <c r="I37" s="1"/>
      <c r="J37" s="20"/>
    </row>
    <row r="38" spans="4:15" ht="15" thickBot="1" x14ac:dyDescent="0.35">
      <c r="D38" s="79"/>
      <c r="E38" s="80"/>
      <c r="F38" s="79"/>
      <c r="G38" s="79"/>
      <c r="H38" s="79"/>
      <c r="I38" s="79"/>
      <c r="J38" s="79"/>
    </row>
    <row r="39" spans="4:15" x14ac:dyDescent="0.3">
      <c r="I39" s="34"/>
      <c r="J39" s="37">
        <f>J33</f>
        <v>5</v>
      </c>
      <c r="K39" s="37">
        <f>J33+1</f>
        <v>6</v>
      </c>
      <c r="L39" s="37">
        <f>K39+1</f>
        <v>7</v>
      </c>
      <c r="M39" s="37">
        <f t="shared" ref="M39:O39" si="23">L39+1</f>
        <v>8</v>
      </c>
      <c r="N39" s="37">
        <f t="shared" si="23"/>
        <v>9</v>
      </c>
      <c r="O39" s="38">
        <f t="shared" si="23"/>
        <v>10</v>
      </c>
    </row>
    <row r="40" spans="4:15" x14ac:dyDescent="0.3">
      <c r="I40" s="23"/>
      <c r="J40" s="81" t="s">
        <v>45</v>
      </c>
      <c r="K40" s="81"/>
      <c r="L40" s="81"/>
      <c r="M40" s="81"/>
      <c r="N40" s="81"/>
      <c r="O40" s="75"/>
    </row>
    <row r="41" spans="4:15" x14ac:dyDescent="0.3">
      <c r="I41" s="23" t="str">
        <f>D36</f>
        <v>ATCF</v>
      </c>
      <c r="J41" s="82">
        <f>-J30</f>
        <v>-70978.703238296919</v>
      </c>
      <c r="K41" s="82">
        <f>K17</f>
        <v>6155.8661020366208</v>
      </c>
      <c r="L41" s="82">
        <f>L17</f>
        <v>6601.1203045275006</v>
      </c>
      <c r="M41" s="82">
        <f>M17</f>
        <v>7053.628133093107</v>
      </c>
      <c r="N41" s="82">
        <f>N17</f>
        <v>7513.5707965156835</v>
      </c>
      <c r="O41" s="36">
        <f>O17+O30</f>
        <v>107202.6031879947</v>
      </c>
    </row>
    <row r="42" spans="4:15" ht="15" thickBot="1" x14ac:dyDescent="0.35">
      <c r="I42" s="19" t="str">
        <f>D37</f>
        <v>AT-IRR</v>
      </c>
      <c r="J42" s="52">
        <f>IRR(J41:O41)</f>
        <v>0.15595966315879561</v>
      </c>
      <c r="K42" s="1"/>
      <c r="L42" s="1"/>
      <c r="M42" s="1"/>
      <c r="N42" s="1"/>
      <c r="O42" s="20"/>
    </row>
  </sheetData>
  <sheetProtection sheet="1" objects="1" scenarios="1"/>
  <mergeCells count="3">
    <mergeCell ref="E2:J2"/>
    <mergeCell ref="J40:O40"/>
    <mergeCell ref="K2:O2"/>
  </mergeCells>
  <conditionalFormatting sqref="A2:E2 K2 B2:C6 D3:O10 A3:A20 B7 B8:C12 D11:D20 B13 B14:C14 B15 B16:C18 E18 E19:O30 A21:D30 D31:O31 A31:C39 D33:J39 K39:O39 A40:E40 J40 D41 J41:O41 K42:N42">
    <cfRule type="expression" dxfId="5" priority="4">
      <formula>_xlfn.ISFORMULA(A2)</formula>
    </cfRule>
  </conditionalFormatting>
  <conditionalFormatting sqref="E11:O17">
    <cfRule type="expression" dxfId="4" priority="2">
      <formula>_xlfn.ISFORMULA(E11)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6A8D03-0FE1-46E9-9BC5-F4C640897179}">
  <dimension ref="B1:T37"/>
  <sheetViews>
    <sheetView showGridLines="0" tabSelected="1" topLeftCell="E8" workbookViewId="0">
      <selection activeCell="J47" sqref="J47"/>
    </sheetView>
  </sheetViews>
  <sheetFormatPr defaultRowHeight="14.4" x14ac:dyDescent="0.3"/>
  <cols>
    <col min="1" max="1" width="4" customWidth="1"/>
    <col min="2" max="2" width="18.77734375" customWidth="1"/>
    <col min="3" max="3" width="11.21875" bestFit="1" customWidth="1"/>
    <col min="4" max="4" width="9.5546875" customWidth="1"/>
    <col min="5" max="5" width="26.88671875" customWidth="1"/>
    <col min="6" max="15" width="11.33203125" customWidth="1"/>
    <col min="16" max="20" width="10.5546875" customWidth="1"/>
    <col min="2001" max="2001" width="2.5546875" customWidth="1"/>
  </cols>
  <sheetData>
    <row r="1" spans="2:20" ht="6.6" customHeight="1" thickBot="1" x14ac:dyDescent="0.35"/>
    <row r="2" spans="2:20" ht="15" thickBot="1" x14ac:dyDescent="0.35">
      <c r="B2" s="53" t="s">
        <v>18</v>
      </c>
      <c r="C2" s="54"/>
      <c r="E2" s="72" t="s">
        <v>46</v>
      </c>
      <c r="F2" s="73"/>
      <c r="G2" s="73"/>
      <c r="H2" s="73"/>
      <c r="I2" s="73"/>
      <c r="J2" s="74"/>
      <c r="K2" s="72" t="s">
        <v>47</v>
      </c>
      <c r="L2" s="73"/>
      <c r="M2" s="73"/>
      <c r="N2" s="73"/>
      <c r="O2" s="73"/>
      <c r="P2" s="73"/>
      <c r="Q2" s="73"/>
      <c r="R2" s="73"/>
      <c r="S2" s="73"/>
      <c r="T2" s="74"/>
    </row>
    <row r="3" spans="2:20" ht="15" thickBot="1" x14ac:dyDescent="0.35">
      <c r="B3" s="23" t="s">
        <v>19</v>
      </c>
      <c r="C3" s="55">
        <v>160000</v>
      </c>
      <c r="E3" s="19" t="s">
        <v>29</v>
      </c>
      <c r="F3" s="63" cm="1">
        <f t="array" ref="F3:J3">_xlfn.SEQUENCE(1,5)</f>
        <v>1</v>
      </c>
      <c r="G3" s="63">
        <v>2</v>
      </c>
      <c r="H3" s="63">
        <v>3</v>
      </c>
      <c r="I3" s="63">
        <v>4</v>
      </c>
      <c r="J3" s="64">
        <v>5</v>
      </c>
      <c r="K3" s="39">
        <f>J3+1</f>
        <v>6</v>
      </c>
      <c r="L3" s="18">
        <f>K3+1</f>
        <v>7</v>
      </c>
      <c r="M3" s="18">
        <f t="shared" ref="M3:O3" si="0">L3+1</f>
        <v>8</v>
      </c>
      <c r="N3" s="18">
        <f t="shared" si="0"/>
        <v>9</v>
      </c>
      <c r="O3" s="18">
        <f t="shared" si="0"/>
        <v>10</v>
      </c>
      <c r="P3" s="18">
        <f t="shared" ref="P3" si="1">O3+1</f>
        <v>11</v>
      </c>
      <c r="Q3" s="18">
        <f t="shared" ref="Q3" si="2">P3+1</f>
        <v>12</v>
      </c>
      <c r="R3" s="18">
        <f t="shared" ref="R3" si="3">Q3+1</f>
        <v>13</v>
      </c>
      <c r="S3" s="18">
        <f t="shared" ref="S3" si="4">R3+1</f>
        <v>14</v>
      </c>
      <c r="T3" s="18">
        <f t="shared" ref="T3" si="5">S3+1</f>
        <v>15</v>
      </c>
    </row>
    <row r="4" spans="2:20" x14ac:dyDescent="0.3">
      <c r="B4" s="23" t="s">
        <v>20</v>
      </c>
      <c r="C4" s="55">
        <v>40000</v>
      </c>
      <c r="E4" s="21" t="s">
        <v>0</v>
      </c>
      <c r="F4" s="10"/>
      <c r="G4" s="10"/>
      <c r="H4" s="10"/>
      <c r="I4" s="10"/>
      <c r="J4" s="22"/>
      <c r="K4" s="41">
        <v>0.04</v>
      </c>
      <c r="L4" s="42">
        <v>0.03</v>
      </c>
      <c r="M4" s="42">
        <f>L4</f>
        <v>0.03</v>
      </c>
      <c r="N4" s="42">
        <f t="shared" ref="N4:O4" si="6">M4</f>
        <v>0.03</v>
      </c>
      <c r="O4" s="42">
        <f t="shared" si="6"/>
        <v>0.03</v>
      </c>
      <c r="P4" s="42">
        <f t="shared" ref="P4" si="7">O4</f>
        <v>0.03</v>
      </c>
      <c r="Q4" s="42">
        <f t="shared" ref="Q4" si="8">P4</f>
        <v>0.03</v>
      </c>
      <c r="R4" s="42">
        <f t="shared" ref="R4" si="9">Q4</f>
        <v>0.03</v>
      </c>
      <c r="S4" s="42">
        <f t="shared" ref="S4" si="10">R4</f>
        <v>0.03</v>
      </c>
      <c r="T4" s="42">
        <f t="shared" ref="T4" si="11">S4</f>
        <v>0.03</v>
      </c>
    </row>
    <row r="5" spans="2:20" x14ac:dyDescent="0.3">
      <c r="B5" s="23" t="s">
        <v>21</v>
      </c>
      <c r="C5" s="55">
        <f>SUM(C3:C4)</f>
        <v>200000</v>
      </c>
      <c r="E5" s="23" t="s">
        <v>7</v>
      </c>
      <c r="F5" s="11">
        <f>C12</f>
        <v>19500</v>
      </c>
      <c r="G5" s="12">
        <f>F5*(1+$C$13)</f>
        <v>20280</v>
      </c>
      <c r="H5" s="12">
        <f>G5*(1+$C$13)</f>
        <v>21091.200000000001</v>
      </c>
      <c r="I5" s="12">
        <f>H5*(1+$C$13)</f>
        <v>21934.848000000002</v>
      </c>
      <c r="J5" s="24">
        <f>I5*(1+$C$13)</f>
        <v>22812.241920000004</v>
      </c>
      <c r="K5" s="44">
        <f>J5*(1+$C$13)</f>
        <v>23724.731596800004</v>
      </c>
      <c r="L5" s="12">
        <f>K5*(1+L4)</f>
        <v>24436.473544704004</v>
      </c>
      <c r="M5" s="12">
        <f t="shared" ref="M5:O5" si="12">L5*(1+M4)</f>
        <v>25169.567751045124</v>
      </c>
      <c r="N5" s="12">
        <f t="shared" si="12"/>
        <v>25924.65478357648</v>
      </c>
      <c r="O5" s="12">
        <f t="shared" si="12"/>
        <v>26702.394427083775</v>
      </c>
      <c r="P5" s="12">
        <f t="shared" ref="P5" si="13">O5*(1+P4)</f>
        <v>27503.46625989629</v>
      </c>
      <c r="Q5" s="12">
        <f t="shared" ref="Q5" si="14">P5*(1+Q4)</f>
        <v>28328.57024769318</v>
      </c>
      <c r="R5" s="12">
        <f t="shared" ref="R5" si="15">Q5*(1+R4)</f>
        <v>29178.427355123975</v>
      </c>
      <c r="S5" s="12">
        <f t="shared" ref="S5" si="16">R5*(1+S4)</f>
        <v>30053.780175777694</v>
      </c>
      <c r="T5" s="12">
        <f t="shared" ref="T5" si="17">S5*(1+T4)</f>
        <v>30955.393581051027</v>
      </c>
    </row>
    <row r="6" spans="2:20" x14ac:dyDescent="0.3">
      <c r="B6" s="21" t="s">
        <v>22</v>
      </c>
      <c r="C6" s="56"/>
      <c r="E6" s="25" t="s">
        <v>39</v>
      </c>
      <c r="F6" s="5">
        <f>-PMT(C9/12,25*12,-C8)*12</f>
        <v>-17642.035384501487</v>
      </c>
      <c r="G6" s="2">
        <f>F6</f>
        <v>-17642.035384501487</v>
      </c>
      <c r="H6" s="2">
        <f t="shared" ref="H6:J6" si="18">G6</f>
        <v>-17642.035384501487</v>
      </c>
      <c r="I6" s="2">
        <f t="shared" si="18"/>
        <v>-17642.035384501487</v>
      </c>
      <c r="J6" s="26">
        <f t="shared" si="18"/>
        <v>-17642.035384501487</v>
      </c>
      <c r="K6" s="45">
        <f>J6</f>
        <v>-17642.035384501487</v>
      </c>
      <c r="L6" s="2">
        <f t="shared" ref="L6:O6" si="19">K6</f>
        <v>-17642.035384501487</v>
      </c>
      <c r="M6" s="2">
        <f t="shared" si="19"/>
        <v>-17642.035384501487</v>
      </c>
      <c r="N6" s="2">
        <f t="shared" si="19"/>
        <v>-17642.035384501487</v>
      </c>
      <c r="O6" s="2">
        <f t="shared" si="19"/>
        <v>-17642.035384501487</v>
      </c>
      <c r="P6" s="2">
        <f t="shared" ref="P6" si="20">O6</f>
        <v>-17642.035384501487</v>
      </c>
      <c r="Q6" s="2">
        <f t="shared" ref="Q6" si="21">P6</f>
        <v>-17642.035384501487</v>
      </c>
      <c r="R6" s="2">
        <f t="shared" ref="R6" si="22">Q6</f>
        <v>-17642.035384501487</v>
      </c>
      <c r="S6" s="2">
        <f t="shared" ref="S6" si="23">R6</f>
        <v>-17642.035384501487</v>
      </c>
      <c r="T6" s="2">
        <f t="shared" ref="T6" si="24">S6</f>
        <v>-17642.035384501487</v>
      </c>
    </row>
    <row r="7" spans="2:20" ht="15" thickBot="1" x14ac:dyDescent="0.35">
      <c r="B7" s="23" t="s">
        <v>34</v>
      </c>
      <c r="C7" s="57">
        <v>0.75</v>
      </c>
      <c r="E7" s="27" t="s">
        <v>0</v>
      </c>
      <c r="F7" s="3">
        <f>SUM(F5:F6)</f>
        <v>1857.964615498513</v>
      </c>
      <c r="G7" s="3">
        <f t="shared" ref="G7:J7" si="25">SUM(G5:G6)</f>
        <v>2637.964615498513</v>
      </c>
      <c r="H7" s="3">
        <f t="shared" si="25"/>
        <v>3449.1646154985137</v>
      </c>
      <c r="I7" s="3">
        <f t="shared" si="25"/>
        <v>4292.8126154985148</v>
      </c>
      <c r="J7" s="28">
        <f t="shared" si="25"/>
        <v>5170.206535498517</v>
      </c>
      <c r="K7" s="46">
        <f>SUM(K5:K6)</f>
        <v>6082.6962122985169</v>
      </c>
      <c r="L7" s="3">
        <f t="shared" ref="L7:O7" si="26">SUM(L5:L6)</f>
        <v>6794.4381602025169</v>
      </c>
      <c r="M7" s="3">
        <f t="shared" si="26"/>
        <v>7527.5323665436372</v>
      </c>
      <c r="N7" s="3">
        <f t="shared" si="26"/>
        <v>8282.6193990749925</v>
      </c>
      <c r="O7" s="3">
        <f t="shared" si="26"/>
        <v>9060.3590425822877</v>
      </c>
      <c r="P7" s="3">
        <f t="shared" ref="P7:T7" si="27">SUM(P5:P6)</f>
        <v>9861.4308753948026</v>
      </c>
      <c r="Q7" s="3">
        <f t="shared" si="27"/>
        <v>10686.534863191693</v>
      </c>
      <c r="R7" s="3">
        <f t="shared" si="27"/>
        <v>11536.391970622488</v>
      </c>
      <c r="S7" s="3">
        <f t="shared" si="27"/>
        <v>12411.744791276207</v>
      </c>
      <c r="T7" s="3">
        <f t="shared" si="27"/>
        <v>13313.35819654954</v>
      </c>
    </row>
    <row r="8" spans="2:20" x14ac:dyDescent="0.3">
      <c r="B8" s="23" t="s">
        <v>23</v>
      </c>
      <c r="C8" s="58">
        <f>C7*C5</f>
        <v>150000</v>
      </c>
      <c r="E8" s="21" t="s">
        <v>2</v>
      </c>
      <c r="F8" s="13"/>
      <c r="G8" s="13"/>
      <c r="H8" s="13"/>
      <c r="I8" s="13"/>
      <c r="J8" s="29"/>
      <c r="K8" s="47"/>
      <c r="L8" s="13"/>
      <c r="M8" s="13"/>
      <c r="N8" s="13"/>
      <c r="O8" s="13"/>
      <c r="P8" s="13"/>
      <c r="Q8" s="13"/>
      <c r="R8" s="13"/>
      <c r="S8" s="13"/>
      <c r="T8" s="13"/>
    </row>
    <row r="9" spans="2:20" x14ac:dyDescent="0.3">
      <c r="B9" s="23" t="s">
        <v>24</v>
      </c>
      <c r="C9" s="59">
        <v>0.11</v>
      </c>
      <c r="E9" s="23" t="str">
        <f>E5</f>
        <v>Net Operation Income (NOI)</v>
      </c>
      <c r="F9" s="11">
        <f>F5</f>
        <v>19500</v>
      </c>
      <c r="G9" s="11">
        <f t="shared" ref="G9:I9" si="28">G5</f>
        <v>20280</v>
      </c>
      <c r="H9" s="11">
        <f t="shared" si="28"/>
        <v>21091.200000000001</v>
      </c>
      <c r="I9" s="11">
        <f t="shared" si="28"/>
        <v>21934.848000000002</v>
      </c>
      <c r="J9" s="30">
        <f>J5</f>
        <v>22812.241920000004</v>
      </c>
      <c r="K9" s="48">
        <f>K5</f>
        <v>23724.731596800004</v>
      </c>
      <c r="L9" s="11">
        <f t="shared" ref="L9:O9" si="29">L5</f>
        <v>24436.473544704004</v>
      </c>
      <c r="M9" s="11">
        <f t="shared" si="29"/>
        <v>25169.567751045124</v>
      </c>
      <c r="N9" s="11">
        <f t="shared" si="29"/>
        <v>25924.65478357648</v>
      </c>
      <c r="O9" s="11">
        <f t="shared" si="29"/>
        <v>26702.394427083775</v>
      </c>
      <c r="P9" s="11">
        <f t="shared" ref="P9:T9" si="30">P5</f>
        <v>27503.46625989629</v>
      </c>
      <c r="Q9" s="11">
        <f t="shared" si="30"/>
        <v>28328.57024769318</v>
      </c>
      <c r="R9" s="11">
        <f t="shared" si="30"/>
        <v>29178.427355123975</v>
      </c>
      <c r="S9" s="11">
        <f t="shared" si="30"/>
        <v>30053.780175777694</v>
      </c>
      <c r="T9" s="11">
        <f t="shared" si="30"/>
        <v>30955.393581051027</v>
      </c>
    </row>
    <row r="10" spans="2:20" x14ac:dyDescent="0.3">
      <c r="B10" s="23" t="s">
        <v>25</v>
      </c>
      <c r="C10" s="60" t="s">
        <v>37</v>
      </c>
      <c r="E10" s="23" t="s">
        <v>38</v>
      </c>
      <c r="F10" s="11">
        <v>-16441</v>
      </c>
      <c r="G10" s="12">
        <v>-16302</v>
      </c>
      <c r="H10" s="12">
        <v>-16146</v>
      </c>
      <c r="I10" s="12">
        <v>-15973</v>
      </c>
      <c r="J10" s="24">
        <v>-15780</v>
      </c>
      <c r="K10" s="44">
        <v>-15565</v>
      </c>
      <c r="L10" s="12">
        <v>-15325</v>
      </c>
      <c r="M10" s="12">
        <v>-15056</v>
      </c>
      <c r="N10" s="12">
        <v>-14757</v>
      </c>
      <c r="O10" s="12">
        <v>-14423</v>
      </c>
      <c r="P10" s="12">
        <v>-14051</v>
      </c>
      <c r="Q10" s="12">
        <v>-13635</v>
      </c>
      <c r="R10" s="12">
        <v>-13172</v>
      </c>
      <c r="S10" s="12">
        <v>-12654</v>
      </c>
      <c r="T10" s="12">
        <v>-12077</v>
      </c>
    </row>
    <row r="11" spans="2:20" x14ac:dyDescent="0.3">
      <c r="B11" s="21" t="s">
        <v>26</v>
      </c>
      <c r="C11" s="61"/>
      <c r="E11" s="25" t="s">
        <v>3</v>
      </c>
      <c r="F11" s="2">
        <f>-C3/C16</f>
        <v>-8421.0526315789466</v>
      </c>
      <c r="G11" s="2">
        <f>F11</f>
        <v>-8421.0526315789466</v>
      </c>
      <c r="H11" s="2">
        <f t="shared" ref="H11:J11" si="31">G11</f>
        <v>-8421.0526315789466</v>
      </c>
      <c r="I11" s="2">
        <f t="shared" si="31"/>
        <v>-8421.0526315789466</v>
      </c>
      <c r="J11" s="26">
        <f t="shared" si="31"/>
        <v>-8421.0526315789466</v>
      </c>
      <c r="K11" s="45">
        <f>J11</f>
        <v>-8421.0526315789466</v>
      </c>
      <c r="L11" s="2">
        <f t="shared" ref="L11:O11" si="32">K11</f>
        <v>-8421.0526315789466</v>
      </c>
      <c r="M11" s="2">
        <f t="shared" si="32"/>
        <v>-8421.0526315789466</v>
      </c>
      <c r="N11" s="2">
        <f t="shared" si="32"/>
        <v>-8421.0526315789466</v>
      </c>
      <c r="O11" s="2">
        <f t="shared" si="32"/>
        <v>-8421.0526315789466</v>
      </c>
      <c r="P11" s="2">
        <f t="shared" ref="P11" si="33">O11</f>
        <v>-8421.0526315789466</v>
      </c>
      <c r="Q11" s="2">
        <f t="shared" ref="Q11" si="34">P11</f>
        <v>-8421.0526315789466</v>
      </c>
      <c r="R11" s="2">
        <f t="shared" ref="R11" si="35">Q11</f>
        <v>-8421.0526315789466</v>
      </c>
      <c r="S11" s="2">
        <f t="shared" ref="S11" si="36">R11</f>
        <v>-8421.0526315789466</v>
      </c>
      <c r="T11" s="2">
        <f t="shared" ref="T11" si="37">S11</f>
        <v>-8421.0526315789466</v>
      </c>
    </row>
    <row r="12" spans="2:20" ht="15" thickBot="1" x14ac:dyDescent="0.35">
      <c r="B12" s="23" t="s">
        <v>1</v>
      </c>
      <c r="C12" s="55">
        <v>19500</v>
      </c>
      <c r="E12" s="27" t="s">
        <v>40</v>
      </c>
      <c r="F12" s="3">
        <f>SUM(F9:F11)</f>
        <v>-5362.0526315789466</v>
      </c>
      <c r="G12" s="3">
        <f>SUM(G9:G11)</f>
        <v>-4443.0526315789466</v>
      </c>
      <c r="H12" s="3">
        <f t="shared" ref="H12:O12" si="38">SUM(H9:H11)</f>
        <v>-3475.8526315789459</v>
      </c>
      <c r="I12" s="3">
        <f t="shared" si="38"/>
        <v>-2459.2046315789448</v>
      </c>
      <c r="J12" s="28">
        <f t="shared" si="38"/>
        <v>-1388.8107115789426</v>
      </c>
      <c r="K12" s="46">
        <f t="shared" si="38"/>
        <v>-261.3210347789427</v>
      </c>
      <c r="L12" s="3">
        <f t="shared" si="38"/>
        <v>690.42091312505727</v>
      </c>
      <c r="M12" s="3">
        <f t="shared" si="38"/>
        <v>1692.5151194661776</v>
      </c>
      <c r="N12" s="3">
        <f t="shared" si="38"/>
        <v>2746.6021519975329</v>
      </c>
      <c r="O12" s="3">
        <f t="shared" si="38"/>
        <v>3858.341795504828</v>
      </c>
      <c r="P12" s="3">
        <f t="shared" ref="P12:T12" si="39">SUM(P9:P11)</f>
        <v>5031.413628317343</v>
      </c>
      <c r="Q12" s="3">
        <f t="shared" si="39"/>
        <v>6272.5176161142335</v>
      </c>
      <c r="R12" s="3">
        <f t="shared" si="39"/>
        <v>7585.3747235450282</v>
      </c>
      <c r="S12" s="3">
        <f t="shared" si="39"/>
        <v>8978.7275441987476</v>
      </c>
      <c r="T12" s="3">
        <f t="shared" si="39"/>
        <v>10457.34094947208</v>
      </c>
    </row>
    <row r="13" spans="2:20" x14ac:dyDescent="0.3">
      <c r="B13" s="23" t="s">
        <v>36</v>
      </c>
      <c r="C13" s="57">
        <v>0.04</v>
      </c>
      <c r="E13" s="25" t="s">
        <v>4</v>
      </c>
      <c r="F13" s="6">
        <f>F12*$C$14</f>
        <v>-2681.0263157894733</v>
      </c>
      <c r="G13" s="6">
        <f>G12*$C$14</f>
        <v>-2221.5263157894733</v>
      </c>
      <c r="H13" s="6">
        <f>H12*$C$14</f>
        <v>-1737.9263157894729</v>
      </c>
      <c r="I13" s="6">
        <f>I12*$C$14</f>
        <v>-1229.6023157894724</v>
      </c>
      <c r="J13" s="31">
        <f>J12*$C$14</f>
        <v>-694.40535578947129</v>
      </c>
      <c r="K13" s="49">
        <f>K12*$C$15</f>
        <v>-73.169889738103961</v>
      </c>
      <c r="L13" s="6">
        <f t="shared" ref="L13:O13" si="40">L12*$C$15</f>
        <v>193.31785567501606</v>
      </c>
      <c r="M13" s="6">
        <f t="shared" si="40"/>
        <v>473.90423345052977</v>
      </c>
      <c r="N13" s="6">
        <f t="shared" si="40"/>
        <v>769.0486025593093</v>
      </c>
      <c r="O13" s="6">
        <f t="shared" si="40"/>
        <v>1080.335702741352</v>
      </c>
      <c r="P13" s="6">
        <f t="shared" ref="P13:T13" si="41">P12*$C$15</f>
        <v>1408.7958159288562</v>
      </c>
      <c r="Q13" s="6">
        <f t="shared" si="41"/>
        <v>1756.3049325119855</v>
      </c>
      <c r="R13" s="6">
        <f t="shared" si="41"/>
        <v>2123.9049225926083</v>
      </c>
      <c r="S13" s="6">
        <f t="shared" si="41"/>
        <v>2514.0437123756496</v>
      </c>
      <c r="T13" s="6">
        <f t="shared" si="41"/>
        <v>2928.0554658521828</v>
      </c>
    </row>
    <row r="14" spans="2:20" x14ac:dyDescent="0.3">
      <c r="B14" s="23" t="s">
        <v>27</v>
      </c>
      <c r="C14" s="59">
        <v>0.5</v>
      </c>
      <c r="E14" s="21" t="s">
        <v>5</v>
      </c>
      <c r="F14" s="13"/>
      <c r="G14" s="13"/>
      <c r="H14" s="13"/>
      <c r="I14" s="13"/>
      <c r="J14" s="29"/>
      <c r="K14" s="47"/>
      <c r="L14" s="13"/>
      <c r="M14" s="13"/>
      <c r="N14" s="13"/>
      <c r="O14" s="13"/>
      <c r="P14" s="13"/>
      <c r="Q14" s="13"/>
      <c r="R14" s="13"/>
      <c r="S14" s="13"/>
      <c r="T14" s="13"/>
    </row>
    <row r="15" spans="2:20" x14ac:dyDescent="0.3">
      <c r="B15" s="23" t="s">
        <v>44</v>
      </c>
      <c r="C15" s="57">
        <v>0.28000000000000003</v>
      </c>
      <c r="E15" s="23" t="s">
        <v>8</v>
      </c>
      <c r="F15" s="12">
        <f t="shared" ref="F15:O15" si="42">F7</f>
        <v>1857.964615498513</v>
      </c>
      <c r="G15" s="12">
        <f t="shared" si="42"/>
        <v>2637.964615498513</v>
      </c>
      <c r="H15" s="12">
        <f t="shared" si="42"/>
        <v>3449.1646154985137</v>
      </c>
      <c r="I15" s="12">
        <f t="shared" si="42"/>
        <v>4292.8126154985148</v>
      </c>
      <c r="J15" s="24">
        <f t="shared" si="42"/>
        <v>5170.206535498517</v>
      </c>
      <c r="K15" s="44">
        <f t="shared" si="42"/>
        <v>6082.6962122985169</v>
      </c>
      <c r="L15" s="12">
        <f t="shared" si="42"/>
        <v>6794.4381602025169</v>
      </c>
      <c r="M15" s="12">
        <f t="shared" si="42"/>
        <v>7527.5323665436372</v>
      </c>
      <c r="N15" s="12">
        <f t="shared" si="42"/>
        <v>8282.6193990749925</v>
      </c>
      <c r="O15" s="12">
        <f t="shared" si="42"/>
        <v>9060.3590425822877</v>
      </c>
      <c r="P15" s="12">
        <f t="shared" ref="P15:T15" si="43">P7</f>
        <v>9861.4308753948026</v>
      </c>
      <c r="Q15" s="12">
        <f t="shared" si="43"/>
        <v>10686.534863191693</v>
      </c>
      <c r="R15" s="12">
        <f t="shared" si="43"/>
        <v>11536.391970622488</v>
      </c>
      <c r="S15" s="12">
        <f t="shared" si="43"/>
        <v>12411.744791276207</v>
      </c>
      <c r="T15" s="12">
        <f t="shared" si="43"/>
        <v>13313.35819654954</v>
      </c>
    </row>
    <row r="16" spans="2:20" x14ac:dyDescent="0.3">
      <c r="B16" s="23" t="s">
        <v>35</v>
      </c>
      <c r="C16" s="60">
        <v>19</v>
      </c>
      <c r="E16" s="23" t="s">
        <v>6</v>
      </c>
      <c r="F16" s="12">
        <f>-F13</f>
        <v>2681.0263157894733</v>
      </c>
      <c r="G16" s="12">
        <f t="shared" ref="G16:O16" si="44">-G13</f>
        <v>2221.5263157894733</v>
      </c>
      <c r="H16" s="12">
        <f t="shared" si="44"/>
        <v>1737.9263157894729</v>
      </c>
      <c r="I16" s="12">
        <f t="shared" si="44"/>
        <v>1229.6023157894724</v>
      </c>
      <c r="J16" s="24">
        <f t="shared" si="44"/>
        <v>694.40535578947129</v>
      </c>
      <c r="K16" s="44">
        <f t="shared" si="44"/>
        <v>73.169889738103961</v>
      </c>
      <c r="L16" s="12">
        <f t="shared" si="44"/>
        <v>-193.31785567501606</v>
      </c>
      <c r="M16" s="12">
        <f t="shared" si="44"/>
        <v>-473.90423345052977</v>
      </c>
      <c r="N16" s="12">
        <f t="shared" si="44"/>
        <v>-769.0486025593093</v>
      </c>
      <c r="O16" s="12">
        <f t="shared" si="44"/>
        <v>-1080.335702741352</v>
      </c>
      <c r="P16" s="12">
        <f t="shared" ref="P16:T16" si="45">-P13</f>
        <v>-1408.7958159288562</v>
      </c>
      <c r="Q16" s="12">
        <f t="shared" si="45"/>
        <v>-1756.3049325119855</v>
      </c>
      <c r="R16" s="12">
        <f t="shared" si="45"/>
        <v>-2123.9049225926083</v>
      </c>
      <c r="S16" s="12">
        <f t="shared" si="45"/>
        <v>-2514.0437123756496</v>
      </c>
      <c r="T16" s="12">
        <f t="shared" si="45"/>
        <v>-2928.0554658521828</v>
      </c>
    </row>
    <row r="17" spans="2:20" ht="15" thickBot="1" x14ac:dyDescent="0.35">
      <c r="B17" s="19" t="s">
        <v>28</v>
      </c>
      <c r="C17" s="62">
        <v>250000</v>
      </c>
      <c r="E17" s="27" t="s">
        <v>9</v>
      </c>
      <c r="F17" s="3">
        <f>SUM(F15:F16)</f>
        <v>4538.9909312879863</v>
      </c>
      <c r="G17" s="3">
        <f t="shared" ref="G17:O17" si="46">SUM(G15:G16)</f>
        <v>4859.4909312879863</v>
      </c>
      <c r="H17" s="3">
        <f t="shared" si="46"/>
        <v>5187.0909312879867</v>
      </c>
      <c r="I17" s="3">
        <f t="shared" si="46"/>
        <v>5522.4149312879872</v>
      </c>
      <c r="J17" s="28">
        <f t="shared" si="46"/>
        <v>5864.6118912879883</v>
      </c>
      <c r="K17" s="46">
        <f t="shared" si="46"/>
        <v>6155.8661020366208</v>
      </c>
      <c r="L17" s="3">
        <f t="shared" si="46"/>
        <v>6601.1203045275006</v>
      </c>
      <c r="M17" s="3">
        <f t="shared" si="46"/>
        <v>7053.628133093107</v>
      </c>
      <c r="N17" s="3">
        <f t="shared" si="46"/>
        <v>7513.5707965156835</v>
      </c>
      <c r="O17" s="3">
        <f t="shared" si="46"/>
        <v>7980.0233398409355</v>
      </c>
      <c r="P17" s="3">
        <f t="shared" ref="P17:T17" si="47">SUM(P15:P16)</f>
        <v>8452.6350594659471</v>
      </c>
      <c r="Q17" s="3">
        <f t="shared" si="47"/>
        <v>8930.2299306797067</v>
      </c>
      <c r="R17" s="3">
        <f t="shared" si="47"/>
        <v>9412.4870480298796</v>
      </c>
      <c r="S17" s="3">
        <f t="shared" si="47"/>
        <v>9897.7010789005581</v>
      </c>
      <c r="T17" s="3">
        <f t="shared" si="47"/>
        <v>10385.302730697356</v>
      </c>
    </row>
    <row r="18" spans="2:20" ht="15" thickBot="1" x14ac:dyDescent="0.35">
      <c r="E18" s="32" t="s">
        <v>30</v>
      </c>
      <c r="F18" s="7"/>
      <c r="G18" s="7"/>
      <c r="H18" s="7"/>
      <c r="I18" s="7"/>
      <c r="J18" s="33"/>
      <c r="K18" s="65">
        <v>0.03</v>
      </c>
      <c r="L18" s="66">
        <f>K18</f>
        <v>0.03</v>
      </c>
      <c r="M18" s="66">
        <f t="shared" ref="M18:T18" si="48">L18</f>
        <v>0.03</v>
      </c>
      <c r="N18" s="66">
        <f t="shared" si="48"/>
        <v>0.03</v>
      </c>
      <c r="O18" s="66">
        <f t="shared" si="48"/>
        <v>0.03</v>
      </c>
      <c r="P18" s="66">
        <f t="shared" si="48"/>
        <v>0.03</v>
      </c>
      <c r="Q18" s="66">
        <f t="shared" si="48"/>
        <v>0.03</v>
      </c>
      <c r="R18" s="66">
        <f t="shared" si="48"/>
        <v>0.03</v>
      </c>
      <c r="S18" s="66">
        <f t="shared" si="48"/>
        <v>0.03</v>
      </c>
      <c r="T18" s="66">
        <f t="shared" si="48"/>
        <v>0.03</v>
      </c>
    </row>
    <row r="19" spans="2:20" x14ac:dyDescent="0.3">
      <c r="C19" s="9"/>
      <c r="E19" s="23" t="s">
        <v>10</v>
      </c>
      <c r="F19" s="14"/>
      <c r="G19" s="12"/>
      <c r="H19" s="12"/>
      <c r="I19" s="12"/>
      <c r="J19" s="24">
        <f>C17</f>
        <v>250000</v>
      </c>
      <c r="K19" s="44">
        <f>J19*(1+K18)</f>
        <v>257500</v>
      </c>
      <c r="L19" s="12">
        <f>K19*(1+L18)</f>
        <v>265225</v>
      </c>
      <c r="M19" s="12">
        <f t="shared" ref="M19:T19" si="49">L19*(1+M18)</f>
        <v>273181.75</v>
      </c>
      <c r="N19" s="12">
        <f t="shared" si="49"/>
        <v>281377.20250000001</v>
      </c>
      <c r="O19" s="12">
        <f t="shared" si="49"/>
        <v>289818.51857499999</v>
      </c>
      <c r="P19" s="12">
        <f t="shared" si="49"/>
        <v>298513.07413224998</v>
      </c>
      <c r="Q19" s="12">
        <f t="shared" si="49"/>
        <v>307468.46635621751</v>
      </c>
      <c r="R19" s="12">
        <f t="shared" si="49"/>
        <v>316692.52034690406</v>
      </c>
      <c r="S19" s="12">
        <f t="shared" si="49"/>
        <v>326193.29595731117</v>
      </c>
      <c r="T19" s="12">
        <f t="shared" si="49"/>
        <v>335979.0948360305</v>
      </c>
    </row>
    <row r="20" spans="2:20" x14ac:dyDescent="0.3">
      <c r="E20" s="23" t="s">
        <v>41</v>
      </c>
      <c r="F20" s="14"/>
      <c r="G20" s="12"/>
      <c r="H20" s="12"/>
      <c r="I20" s="12"/>
      <c r="J20" s="24">
        <f>J19*-6%</f>
        <v>-15000</v>
      </c>
      <c r="K20" s="44">
        <f>-K19*6%</f>
        <v>-15450</v>
      </c>
      <c r="L20" s="12">
        <f>-L19*6%</f>
        <v>-15913.5</v>
      </c>
      <c r="M20" s="12">
        <f t="shared" ref="M20:S20" si="50">-M19*6%</f>
        <v>-16390.904999999999</v>
      </c>
      <c r="N20" s="12">
        <f t="shared" si="50"/>
        <v>-16882.632150000001</v>
      </c>
      <c r="O20" s="12">
        <f t="shared" si="50"/>
        <v>-17389.1111145</v>
      </c>
      <c r="P20" s="12">
        <f t="shared" si="50"/>
        <v>-17910.784447934999</v>
      </c>
      <c r="Q20" s="12">
        <f t="shared" si="50"/>
        <v>-18448.10798137305</v>
      </c>
      <c r="R20" s="12">
        <f t="shared" si="50"/>
        <v>-19001.551220814243</v>
      </c>
      <c r="S20" s="12">
        <f t="shared" si="50"/>
        <v>-19571.597757438671</v>
      </c>
      <c r="T20" s="12">
        <f>-T19*6%</f>
        <v>-20158.745690161828</v>
      </c>
    </row>
    <row r="21" spans="2:20" x14ac:dyDescent="0.3">
      <c r="C21" s="4"/>
      <c r="E21" s="23" t="s">
        <v>31</v>
      </c>
      <c r="F21" s="15"/>
      <c r="G21" s="15"/>
      <c r="H21" s="12"/>
      <c r="I21" s="12"/>
      <c r="J21" s="24">
        <f>-C8-(SUM(F6:J6)-SUM(F10:J10))</f>
        <v>-142431.82307749256</v>
      </c>
      <c r="K21" s="67">
        <f>-$C$8-(SUM($F6:K6)-SUM($F10:K10))</f>
        <v>-140354.78769299109</v>
      </c>
      <c r="L21" s="68">
        <f>-$C$8-(SUM($F6:L6)-SUM($F10:L10))</f>
        <v>-138037.75230848958</v>
      </c>
      <c r="M21" s="68">
        <f>-$C$8-(SUM($F6:M6)-SUM($F10:M10))</f>
        <v>-135451.7169239881</v>
      </c>
      <c r="N21" s="68">
        <f>-$C$8-(SUM($F6:N6)-SUM($F10:N10))</f>
        <v>-132566.68153948663</v>
      </c>
      <c r="O21" s="68">
        <f>-$C$8-(SUM($F6:O6)-SUM($F10:O10))</f>
        <v>-129347.64615498515</v>
      </c>
      <c r="P21" s="68">
        <f>-$C$8-(SUM($F6:P6)-SUM($F10:P10))</f>
        <v>-125756.61077048368</v>
      </c>
      <c r="Q21" s="68">
        <f>-$C$8-(SUM($F6:Q6)-SUM($F10:Q10))</f>
        <v>-121749.5753859822</v>
      </c>
      <c r="R21" s="68">
        <f>-$C$8-(SUM($F6:R6)-SUM($F10:R10))</f>
        <v>-117279.54000148072</v>
      </c>
      <c r="S21" s="68">
        <f>-$C$8-(SUM($F6:S6)-SUM($F10:S10))</f>
        <v>-112291.50461697925</v>
      </c>
      <c r="T21" s="68">
        <f>-$C$8-(SUM($F6:T6)-SUM($F10:T10))</f>
        <v>-106726.46923247777</v>
      </c>
    </row>
    <row r="22" spans="2:20" ht="15" thickBot="1" x14ac:dyDescent="0.35">
      <c r="E22" s="23" t="s">
        <v>11</v>
      </c>
      <c r="F22" s="12"/>
      <c r="G22" s="12"/>
      <c r="H22" s="12"/>
      <c r="I22" s="12"/>
      <c r="J22" s="28">
        <f>SUM(J19:J21)</f>
        <v>92568.176922507439</v>
      </c>
      <c r="K22" s="46">
        <f>SUM(K19:K21)</f>
        <v>101695.21230700891</v>
      </c>
      <c r="L22" s="3">
        <f>SUM(L19:L21)</f>
        <v>111273.74769151042</v>
      </c>
      <c r="M22" s="3">
        <f t="shared" ref="M22:T22" si="51">SUM(M19:M21)</f>
        <v>121339.1280760119</v>
      </c>
      <c r="N22" s="3">
        <f t="shared" si="51"/>
        <v>131927.88881051337</v>
      </c>
      <c r="O22" s="3">
        <f t="shared" si="51"/>
        <v>143081.76130551487</v>
      </c>
      <c r="P22" s="3">
        <f t="shared" si="51"/>
        <v>154845.6789138313</v>
      </c>
      <c r="Q22" s="3">
        <f t="shared" si="51"/>
        <v>167270.78298886228</v>
      </c>
      <c r="R22" s="3">
        <f t="shared" si="51"/>
        <v>180411.4291246091</v>
      </c>
      <c r="S22" s="3">
        <f t="shared" si="51"/>
        <v>194330.19358289326</v>
      </c>
      <c r="T22" s="3">
        <f t="shared" si="51"/>
        <v>209093.87991339091</v>
      </c>
    </row>
    <row r="23" spans="2:20" x14ac:dyDescent="0.3">
      <c r="E23" s="23" t="s">
        <v>12</v>
      </c>
      <c r="F23" s="12"/>
      <c r="G23" s="12"/>
      <c r="H23" s="12"/>
      <c r="I23" s="12"/>
      <c r="J23" s="24"/>
      <c r="K23" s="44"/>
      <c r="L23" s="12"/>
      <c r="M23" s="12"/>
      <c r="N23" s="12"/>
      <c r="O23" s="12"/>
      <c r="P23" s="12"/>
      <c r="Q23" s="12"/>
      <c r="R23" s="12"/>
      <c r="S23" s="12"/>
      <c r="T23" s="12"/>
    </row>
    <row r="24" spans="2:20" x14ac:dyDescent="0.3">
      <c r="E24" s="23" t="s">
        <v>42</v>
      </c>
      <c r="F24" s="12"/>
      <c r="G24" s="12"/>
      <c r="H24" s="12"/>
      <c r="I24" s="12">
        <f>SUM(J19:J20)</f>
        <v>235000</v>
      </c>
      <c r="J24" s="24"/>
      <c r="K24" s="44"/>
      <c r="L24" s="12"/>
      <c r="M24" s="12"/>
      <c r="N24" s="12"/>
      <c r="O24" s="12"/>
      <c r="P24" s="12"/>
      <c r="Q24" s="12"/>
      <c r="R24" s="12"/>
      <c r="S24" s="12"/>
      <c r="T24" s="12"/>
    </row>
    <row r="25" spans="2:20" x14ac:dyDescent="0.3">
      <c r="E25" s="23" t="s">
        <v>13</v>
      </c>
      <c r="F25" s="12"/>
      <c r="G25" s="12"/>
      <c r="H25" s="12">
        <f>-C5</f>
        <v>-200000</v>
      </c>
      <c r="I25" s="12"/>
      <c r="J25" s="24"/>
      <c r="K25" s="44">
        <f>H25</f>
        <v>-200000</v>
      </c>
      <c r="L25" s="12">
        <f>K25</f>
        <v>-200000</v>
      </c>
      <c r="M25" s="12">
        <f t="shared" ref="M25:T25" si="52">L25</f>
        <v>-200000</v>
      </c>
      <c r="N25" s="12">
        <f t="shared" si="52"/>
        <v>-200000</v>
      </c>
      <c r="O25" s="12">
        <f t="shared" si="52"/>
        <v>-200000</v>
      </c>
      <c r="P25" s="12">
        <f t="shared" si="52"/>
        <v>-200000</v>
      </c>
      <c r="Q25" s="12">
        <f t="shared" si="52"/>
        <v>-200000</v>
      </c>
      <c r="R25" s="12">
        <f t="shared" si="52"/>
        <v>-200000</v>
      </c>
      <c r="S25" s="12">
        <f t="shared" si="52"/>
        <v>-200000</v>
      </c>
      <c r="T25" s="12">
        <f t="shared" si="52"/>
        <v>-200000</v>
      </c>
    </row>
    <row r="26" spans="2:20" x14ac:dyDescent="0.3">
      <c r="E26" s="23" t="s">
        <v>14</v>
      </c>
      <c r="F26" s="12"/>
      <c r="G26" s="12"/>
      <c r="H26" s="12">
        <f>-SUM(F11:J11)</f>
        <v>42105.263157894733</v>
      </c>
      <c r="I26" s="12"/>
      <c r="J26" s="24"/>
      <c r="K26" s="44">
        <f>-SUM($F11:K11)</f>
        <v>50526.31578947368</v>
      </c>
      <c r="L26" s="12">
        <f>-SUM($F11:L11)</f>
        <v>58947.368421052626</v>
      </c>
      <c r="M26" s="12">
        <f>-SUM($F11:M11)</f>
        <v>67368.421052631573</v>
      </c>
      <c r="N26" s="12">
        <f>-SUM($F11:N11)</f>
        <v>75789.473684210519</v>
      </c>
      <c r="O26" s="12">
        <f>-SUM($F11:O11)</f>
        <v>84210.526315789466</v>
      </c>
      <c r="P26" s="12">
        <f>-SUM($F11:P11)</f>
        <v>92631.578947368413</v>
      </c>
      <c r="Q26" s="12">
        <f>-SUM($F11:Q11)</f>
        <v>101052.63157894736</v>
      </c>
      <c r="R26" s="12">
        <f>-SUM($F11:R11)</f>
        <v>109473.68421052631</v>
      </c>
      <c r="S26" s="12">
        <f>-SUM($F11:S11)</f>
        <v>117894.73684210525</v>
      </c>
      <c r="T26" s="12">
        <f>-SUM($F11:T11)</f>
        <v>126315.7894736842</v>
      </c>
    </row>
    <row r="27" spans="2:20" ht="15" thickBot="1" x14ac:dyDescent="0.35">
      <c r="E27" s="23" t="s">
        <v>15</v>
      </c>
      <c r="F27" s="12"/>
      <c r="G27" s="12"/>
      <c r="H27" s="12"/>
      <c r="I27" s="12">
        <f>H25+H26</f>
        <v>-157894.73684210528</v>
      </c>
      <c r="J27" s="24"/>
      <c r="K27" s="46">
        <f>SUM(K25:K26)</f>
        <v>-149473.68421052632</v>
      </c>
      <c r="L27" s="3">
        <f>SUM(L25:L26)</f>
        <v>-141052.63157894736</v>
      </c>
      <c r="M27" s="3">
        <f t="shared" ref="M27:T27" si="53">SUM(M25:M26)</f>
        <v>-132631.57894736843</v>
      </c>
      <c r="N27" s="3">
        <f t="shared" si="53"/>
        <v>-124210.52631578948</v>
      </c>
      <c r="O27" s="3">
        <f t="shared" si="53"/>
        <v>-115789.47368421053</v>
      </c>
      <c r="P27" s="3">
        <f t="shared" si="53"/>
        <v>-107368.42105263159</v>
      </c>
      <c r="Q27" s="3">
        <f t="shared" si="53"/>
        <v>-98947.368421052641</v>
      </c>
      <c r="R27" s="3">
        <f t="shared" si="53"/>
        <v>-90526.315789473694</v>
      </c>
      <c r="S27" s="3">
        <f t="shared" si="53"/>
        <v>-82105.263157894748</v>
      </c>
      <c r="T27" s="3">
        <f t="shared" si="53"/>
        <v>-73684.210526315801</v>
      </c>
    </row>
    <row r="28" spans="2:20" ht="15" thickBot="1" x14ac:dyDescent="0.35">
      <c r="E28" s="23" t="s">
        <v>16</v>
      </c>
      <c r="F28" s="12"/>
      <c r="G28" s="12"/>
      <c r="H28" s="12"/>
      <c r="I28" s="3">
        <f>SUM(I24:I27)</f>
        <v>77105.263157894718</v>
      </c>
      <c r="J28" s="24"/>
      <c r="K28" s="44">
        <f>K19+K20+K27</f>
        <v>92576.31578947368</v>
      </c>
      <c r="L28" s="12">
        <f>L19+L20+L27</f>
        <v>108258.86842105264</v>
      </c>
      <c r="M28" s="12">
        <f t="shared" ref="M28:T28" si="54">M19+M20+M27</f>
        <v>124159.26605263157</v>
      </c>
      <c r="N28" s="12">
        <f t="shared" si="54"/>
        <v>140284.0440342105</v>
      </c>
      <c r="O28" s="12">
        <f t="shared" si="54"/>
        <v>156639.93377628949</v>
      </c>
      <c r="P28" s="12">
        <f t="shared" si="54"/>
        <v>173233.86863168341</v>
      </c>
      <c r="Q28" s="12">
        <f t="shared" si="54"/>
        <v>190072.98995379184</v>
      </c>
      <c r="R28" s="12">
        <f t="shared" si="54"/>
        <v>207164.65333661612</v>
      </c>
      <c r="S28" s="12">
        <f t="shared" si="54"/>
        <v>224516.43504197776</v>
      </c>
      <c r="T28" s="12">
        <f t="shared" si="54"/>
        <v>242136.13861955289</v>
      </c>
    </row>
    <row r="29" spans="2:20" x14ac:dyDescent="0.3">
      <c r="E29" s="23" t="s">
        <v>43</v>
      </c>
      <c r="F29" s="12"/>
      <c r="G29" s="12"/>
      <c r="H29" s="12"/>
      <c r="I29" s="12"/>
      <c r="J29" s="24">
        <f>-I28*28%</f>
        <v>-21589.473684210523</v>
      </c>
      <c r="K29" s="44">
        <f>-K28*28%</f>
        <v>-25921.368421052633</v>
      </c>
      <c r="L29" s="12">
        <f>-L28*28%</f>
        <v>-30312.483157894741</v>
      </c>
      <c r="M29" s="12">
        <f t="shared" ref="M29:T29" si="55">-M28*28%</f>
        <v>-34764.594494736841</v>
      </c>
      <c r="N29" s="12">
        <f t="shared" si="55"/>
        <v>-39279.532329578942</v>
      </c>
      <c r="O29" s="12">
        <f t="shared" si="55"/>
        <v>-43859.181457361061</v>
      </c>
      <c r="P29" s="12">
        <f t="shared" si="55"/>
        <v>-48505.483216871362</v>
      </c>
      <c r="Q29" s="12">
        <f t="shared" si="55"/>
        <v>-53220.437187061718</v>
      </c>
      <c r="R29" s="12">
        <f t="shared" si="55"/>
        <v>-58006.102934252522</v>
      </c>
      <c r="S29" s="12">
        <f t="shared" si="55"/>
        <v>-62864.601811753782</v>
      </c>
      <c r="T29" s="12">
        <f t="shared" si="55"/>
        <v>-67798.118813474823</v>
      </c>
    </row>
    <row r="30" spans="2:20" ht="15" thickBot="1" x14ac:dyDescent="0.35">
      <c r="E30" s="27" t="s">
        <v>17</v>
      </c>
      <c r="F30" s="3"/>
      <c r="G30" s="3"/>
      <c r="H30" s="3"/>
      <c r="I30" s="3"/>
      <c r="J30" s="28">
        <f>SUM(J22:J29)</f>
        <v>70978.703238296919</v>
      </c>
      <c r="K30" s="46">
        <f>K22+K29</f>
        <v>75773.843885956274</v>
      </c>
      <c r="L30" s="3">
        <f>L22+L29</f>
        <v>80961.264533615671</v>
      </c>
      <c r="M30" s="3">
        <f t="shared" ref="M30:T30" si="56">M22+M29</f>
        <v>86574.533581275056</v>
      </c>
      <c r="N30" s="3">
        <f t="shared" si="56"/>
        <v>92648.356480934424</v>
      </c>
      <c r="O30" s="3">
        <f t="shared" si="56"/>
        <v>99222.579848153808</v>
      </c>
      <c r="P30" s="3">
        <f t="shared" si="56"/>
        <v>106340.19569695994</v>
      </c>
      <c r="Q30" s="3">
        <f t="shared" si="56"/>
        <v>114050.34580180056</v>
      </c>
      <c r="R30" s="3">
        <f t="shared" si="56"/>
        <v>122405.32619035657</v>
      </c>
      <c r="S30" s="3">
        <f t="shared" si="56"/>
        <v>131465.59177113947</v>
      </c>
      <c r="T30" s="3">
        <f t="shared" si="56"/>
        <v>141295.76109991607</v>
      </c>
    </row>
    <row r="32" spans="2:20" ht="15" thickBot="1" x14ac:dyDescent="0.35"/>
    <row r="33" spans="4:20" x14ac:dyDescent="0.3">
      <c r="D33" s="34"/>
      <c r="E33" s="37">
        <v>0</v>
      </c>
      <c r="F33" s="37" cm="1">
        <f t="array" ref="F33:J33">_xlfn.SEQUENCE(1,5)</f>
        <v>1</v>
      </c>
      <c r="G33" s="37">
        <v>2</v>
      </c>
      <c r="H33" s="37">
        <v>3</v>
      </c>
      <c r="I33" s="37">
        <v>4</v>
      </c>
      <c r="J33" s="38">
        <v>5</v>
      </c>
      <c r="K33" s="76" t="s">
        <v>48</v>
      </c>
      <c r="L33" s="77"/>
      <c r="M33" s="77"/>
      <c r="N33" s="77"/>
      <c r="O33" s="77"/>
      <c r="P33" s="77"/>
      <c r="Q33" s="77"/>
      <c r="R33" s="77"/>
      <c r="S33" s="77"/>
      <c r="T33" s="78"/>
    </row>
    <row r="34" spans="4:20" ht="15" thickBot="1" x14ac:dyDescent="0.35">
      <c r="D34" s="23" t="s">
        <v>11</v>
      </c>
      <c r="E34" s="16">
        <f>-(C5-C8)</f>
        <v>-50000</v>
      </c>
      <c r="F34" s="16">
        <f>F15</f>
        <v>1857.964615498513</v>
      </c>
      <c r="G34" s="16">
        <f>G15</f>
        <v>2637.964615498513</v>
      </c>
      <c r="H34" s="16">
        <f>H15</f>
        <v>3449.1646154985137</v>
      </c>
      <c r="I34" s="16">
        <f>I15</f>
        <v>4292.8126154985148</v>
      </c>
      <c r="J34" s="36">
        <f>J15+J22</f>
        <v>97738.383458005963</v>
      </c>
      <c r="K34" s="69">
        <f t="shared" ref="K34:T34" si="57">(K30+K17-J30)/J30</f>
        <v>0.15428581039202913</v>
      </c>
      <c r="L34" s="70">
        <f t="shared" si="57"/>
        <v>0.15557533243171998</v>
      </c>
      <c r="M34" s="70">
        <f t="shared" si="57"/>
        <v>0.15645626650869704</v>
      </c>
      <c r="N34" s="70">
        <f t="shared" si="57"/>
        <v>0.15694446315924271</v>
      </c>
      <c r="O34" s="70">
        <f t="shared" si="57"/>
        <v>0.15709125622811615</v>
      </c>
      <c r="P34" s="70">
        <f t="shared" si="57"/>
        <v>0.1569224558774843</v>
      </c>
      <c r="Q34" s="70">
        <f t="shared" si="57"/>
        <v>0.15648250340765588</v>
      </c>
      <c r="R34" s="70">
        <f t="shared" si="57"/>
        <v>0.15578617768912875</v>
      </c>
      <c r="S34" s="70">
        <f t="shared" si="57"/>
        <v>0.15487860904190789</v>
      </c>
      <c r="T34" s="71">
        <f t="shared" si="57"/>
        <v>0.15377006094998488</v>
      </c>
    </row>
    <row r="35" spans="4:20" hidden="1" x14ac:dyDescent="0.3">
      <c r="D35" s="23" t="s">
        <v>32</v>
      </c>
      <c r="E35" s="17">
        <f>IRR(E34:J34)</f>
        <v>0.18256075377393199</v>
      </c>
      <c r="J35" s="35"/>
      <c r="K35" s="17">
        <v>0.155</v>
      </c>
      <c r="L35" s="17">
        <f>K35</f>
        <v>0.155</v>
      </c>
      <c r="M35" s="17">
        <f t="shared" ref="M35:T35" si="58">L35</f>
        <v>0.155</v>
      </c>
      <c r="N35" s="17">
        <f t="shared" si="58"/>
        <v>0.155</v>
      </c>
      <c r="O35" s="17">
        <f t="shared" si="58"/>
        <v>0.155</v>
      </c>
      <c r="P35" s="17">
        <f t="shared" si="58"/>
        <v>0.155</v>
      </c>
      <c r="Q35" s="17">
        <f t="shared" si="58"/>
        <v>0.155</v>
      </c>
      <c r="R35" s="17">
        <f t="shared" si="58"/>
        <v>0.155</v>
      </c>
      <c r="S35" s="17">
        <f t="shared" si="58"/>
        <v>0.155</v>
      </c>
      <c r="T35" s="17">
        <f t="shared" si="58"/>
        <v>0.155</v>
      </c>
    </row>
    <row r="36" spans="4:20" x14ac:dyDescent="0.3">
      <c r="D36" s="23" t="s">
        <v>17</v>
      </c>
      <c r="E36" s="16">
        <f>E34</f>
        <v>-50000</v>
      </c>
      <c r="F36" s="16">
        <f>F17</f>
        <v>4538.9909312879863</v>
      </c>
      <c r="G36" s="16">
        <f>G17</f>
        <v>4859.4909312879863</v>
      </c>
      <c r="H36" s="16">
        <f>H17</f>
        <v>5187.0909312879867</v>
      </c>
      <c r="I36" s="16">
        <f>I17</f>
        <v>5522.4149312879872</v>
      </c>
      <c r="J36" s="36">
        <f>J17+J30</f>
        <v>76843.315129584909</v>
      </c>
      <c r="K36" s="17">
        <f>K35</f>
        <v>0.155</v>
      </c>
      <c r="L36" s="17">
        <f>K36*(1+0.1%)</f>
        <v>0.15515499999999999</v>
      </c>
      <c r="M36" s="17">
        <f t="shared" ref="M36:T36" si="59">L36*(1+0.1%)</f>
        <v>0.15531015499999998</v>
      </c>
      <c r="N36" s="17">
        <f t="shared" si="59"/>
        <v>0.15546546515499995</v>
      </c>
      <c r="O36" s="17">
        <f t="shared" si="59"/>
        <v>0.15562093062015495</v>
      </c>
      <c r="P36" s="17">
        <f t="shared" si="59"/>
        <v>0.15577655155077508</v>
      </c>
      <c r="Q36" s="17">
        <f t="shared" si="59"/>
        <v>0.15593232810232582</v>
      </c>
      <c r="R36" s="17">
        <f t="shared" si="59"/>
        <v>0.15608826043042814</v>
      </c>
      <c r="S36" s="17">
        <f t="shared" si="59"/>
        <v>0.15624434869085854</v>
      </c>
      <c r="T36" s="17">
        <f t="shared" si="59"/>
        <v>0.1564005930395494</v>
      </c>
    </row>
    <row r="37" spans="4:20" ht="15" thickBot="1" x14ac:dyDescent="0.35">
      <c r="D37" s="19" t="s">
        <v>33</v>
      </c>
      <c r="E37" s="8">
        <f>IRR(E36:J36)</f>
        <v>0.16261060673329331</v>
      </c>
      <c r="F37" s="1"/>
      <c r="G37" s="1"/>
      <c r="H37" s="1"/>
      <c r="I37" s="1"/>
      <c r="J37" s="20"/>
    </row>
  </sheetData>
  <sheetProtection sheet="1" objects="1" scenarios="1"/>
  <mergeCells count="3">
    <mergeCell ref="E2:J2"/>
    <mergeCell ref="K2:T2"/>
    <mergeCell ref="K33:T33"/>
  </mergeCells>
  <conditionalFormatting sqref="A2:E2 K2 B3:C6 D3:T10 A3:A20 B7 B8:C12 D11:D20 B13 B14:C14 B15 B16:C18 E18 A21:T30 D31:J31 A31:C38 K33 D33:J37 D38:O38 A39:E39 D40">
    <cfRule type="expression" dxfId="3" priority="5">
      <formula>_xlfn.ISFORMULA(A2)</formula>
    </cfRule>
  </conditionalFormatting>
  <conditionalFormatting sqref="E11:T17">
    <cfRule type="expression" dxfId="2" priority="4">
      <formula>_xlfn.ISFORMULA(E11)</formula>
    </cfRule>
  </conditionalFormatting>
  <conditionalFormatting sqref="E19:T20">
    <cfRule type="expression" dxfId="1" priority="2">
      <formula>_xlfn.ISFORMULA(E19)</formula>
    </cfRule>
  </conditionalFormatting>
  <conditionalFormatting sqref="K34:T34">
    <cfRule type="expression" dxfId="0" priority="1">
      <formula>_xlfn.ISFORMULA(K34)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Dispositon</vt:lpstr>
      <vt:lpstr>MRR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Shota Modebadze</dc:creator>
  <cp:lastModifiedBy>Shota Modebadze</cp:lastModifiedBy>
  <dcterms:created xsi:type="dcterms:W3CDTF">2015-06-05T18:17:20Z</dcterms:created>
  <dcterms:modified xsi:type="dcterms:W3CDTF">2024-12-13T07:29:53Z</dcterms:modified>
</cp:coreProperties>
</file>