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RE Finance Books/"/>
    </mc:Choice>
  </mc:AlternateContent>
  <xr:revisionPtr revIDLastSave="563" documentId="11_F25DC773A252ABDACC1048D7991B778C5ADE58EC" xr6:coauthVersionLast="47" xr6:coauthVersionMax="47" xr10:uidLastSave="{2FA8EAAF-BCE8-40F0-AFA4-4087323977FB}"/>
  <bookViews>
    <workbookView xWindow="-108" yWindow="-108" windowWidth="23256" windowHeight="12456" activeTab="2" xr2:uid="{00000000-000D-0000-FFFF-FFFF00000000}"/>
  </bookViews>
  <sheets>
    <sheet name="Positive Leverage &amp; IRR" sheetId="1" r:id="rId1"/>
    <sheet name="Negative Leverage &amp; IRR" sheetId="2" r:id="rId2"/>
    <sheet name="BreackEven Interest Ra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3" l="1"/>
  <c r="C13" i="3"/>
  <c r="U16" i="3"/>
  <c r="U15" i="3" s="1"/>
  <c r="U14" i="3" s="1"/>
  <c r="U13" i="3" s="1"/>
  <c r="U12" i="3" s="1"/>
  <c r="X11" i="3"/>
  <c r="W11" i="3"/>
  <c r="L21" i="3"/>
  <c r="L18" i="3"/>
  <c r="L19" i="3" s="1"/>
  <c r="L20" i="3" s="1"/>
  <c r="L14" i="3"/>
  <c r="L15" i="3" s="1"/>
  <c r="L16" i="3" s="1"/>
  <c r="L17" i="3" s="1"/>
  <c r="L13" i="3"/>
  <c r="J17" i="3"/>
  <c r="I21" i="3" s="1"/>
  <c r="L11" i="3"/>
  <c r="N10" i="3"/>
  <c r="M10" i="3"/>
  <c r="L10" i="3"/>
  <c r="F9" i="3"/>
  <c r="G9" i="3" s="1"/>
  <c r="F5" i="3"/>
  <c r="C5" i="3"/>
  <c r="H22" i="3" s="1"/>
  <c r="F3" i="3" a="1"/>
  <c r="F3" i="3" s="1"/>
  <c r="J17" i="2"/>
  <c r="I21" i="2" s="1"/>
  <c r="L13" i="2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11" i="2"/>
  <c r="N10" i="2"/>
  <c r="M10" i="2"/>
  <c r="L10" i="2"/>
  <c r="F9" i="2"/>
  <c r="G9" i="2" s="1"/>
  <c r="F5" i="2"/>
  <c r="C5" i="2"/>
  <c r="H22" i="2" s="1"/>
  <c r="F3" i="2" a="1"/>
  <c r="F3" i="2" s="1"/>
  <c r="L13" i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11" i="1"/>
  <c r="L10" i="1"/>
  <c r="N10" i="1"/>
  <c r="M10" i="1"/>
  <c r="C8" i="1"/>
  <c r="M4" i="1" s="1"/>
  <c r="M6" i="1" s="1"/>
  <c r="F9" i="1"/>
  <c r="J17" i="1"/>
  <c r="I21" i="1" s="1"/>
  <c r="F5" i="1"/>
  <c r="G5" i="1" s="1"/>
  <c r="C5" i="1"/>
  <c r="H22" i="1" s="1"/>
  <c r="F3" i="1" a="1"/>
  <c r="F3" i="1" s="1"/>
  <c r="G9" i="1"/>
  <c r="H9" i="1" s="1"/>
  <c r="I9" i="1" s="1"/>
  <c r="J9" i="1" s="1"/>
  <c r="U18" i="3" l="1"/>
  <c r="U19" i="3" s="1"/>
  <c r="U20" i="3" s="1"/>
  <c r="U21" i="3" s="1"/>
  <c r="H9" i="3"/>
  <c r="I9" i="3" s="1"/>
  <c r="J9" i="3" s="1"/>
  <c r="H23" i="3"/>
  <c r="I24" i="3" s="1"/>
  <c r="I25" i="3" s="1"/>
  <c r="J26" i="3" s="1"/>
  <c r="C8" i="3"/>
  <c r="G5" i="3"/>
  <c r="H9" i="2"/>
  <c r="I9" i="2" s="1"/>
  <c r="J9" i="2" s="1"/>
  <c r="H23" i="2"/>
  <c r="I24" i="2" s="1"/>
  <c r="I25" i="2" s="1"/>
  <c r="J26" i="2" s="1"/>
  <c r="C8" i="2"/>
  <c r="G5" i="2"/>
  <c r="F6" i="1"/>
  <c r="G6" i="1" s="1"/>
  <c r="H6" i="1" s="1"/>
  <c r="I6" i="1" s="1"/>
  <c r="J6" i="1" s="1"/>
  <c r="J18" i="1"/>
  <c r="J19" i="1" s="1"/>
  <c r="H23" i="1"/>
  <c r="I24" i="1" s="1"/>
  <c r="I25" i="1" s="1"/>
  <c r="J26" i="1" s="1"/>
  <c r="H5" i="1"/>
  <c r="H7" i="1" l="1"/>
  <c r="H13" i="1" s="1"/>
  <c r="P4" i="1" s="1"/>
  <c r="M4" i="3"/>
  <c r="F7" i="1"/>
  <c r="F10" i="1" s="1"/>
  <c r="F11" i="1" s="1"/>
  <c r="F14" i="1" s="1"/>
  <c r="G7" i="1"/>
  <c r="G13" i="1" s="1"/>
  <c r="O4" i="1" s="1"/>
  <c r="J27" i="1"/>
  <c r="J18" i="3"/>
  <c r="J19" i="3" s="1"/>
  <c r="J27" i="3" s="1"/>
  <c r="H5" i="3"/>
  <c r="H5" i="2"/>
  <c r="M4" i="2"/>
  <c r="J18" i="2"/>
  <c r="J19" i="2" s="1"/>
  <c r="J27" i="2" s="1"/>
  <c r="F6" i="2"/>
  <c r="I5" i="1"/>
  <c r="I7" i="1" s="1"/>
  <c r="J5" i="1"/>
  <c r="J7" i="1" s="1"/>
  <c r="H10" i="1" l="1"/>
  <c r="F13" i="1"/>
  <c r="N4" i="1" s="1"/>
  <c r="M6" i="3"/>
  <c r="G10" i="1"/>
  <c r="G11" i="1" s="1"/>
  <c r="I5" i="3"/>
  <c r="G6" i="2"/>
  <c r="F7" i="2"/>
  <c r="M6" i="2"/>
  <c r="I5" i="2"/>
  <c r="J13" i="1"/>
  <c r="R4" i="1" s="1"/>
  <c r="J10" i="1"/>
  <c r="J11" i="1" s="1"/>
  <c r="I13" i="1"/>
  <c r="Q4" i="1" s="1"/>
  <c r="M5" i="1" s="1"/>
  <c r="M11" i="1" s="1"/>
  <c r="I10" i="1"/>
  <c r="I11" i="1" s="1"/>
  <c r="F15" i="1" l="1"/>
  <c r="N6" i="1" s="1"/>
  <c r="H11" i="1"/>
  <c r="H14" i="1" s="1"/>
  <c r="H15" i="1" s="1"/>
  <c r="P6" i="1" s="1"/>
  <c r="G14" i="1"/>
  <c r="G15" i="1" s="1"/>
  <c r="O6" i="1" s="1"/>
  <c r="J14" i="1"/>
  <c r="J15" i="1" s="1"/>
  <c r="R6" i="1" s="1"/>
  <c r="I14" i="1"/>
  <c r="I15" i="1" s="1"/>
  <c r="Q6" i="1" s="1"/>
  <c r="J5" i="3"/>
  <c r="J5" i="2"/>
  <c r="F13" i="2"/>
  <c r="F10" i="2"/>
  <c r="F11" i="2" s="1"/>
  <c r="H6" i="2"/>
  <c r="G7" i="2"/>
  <c r="M7" i="1" l="1"/>
  <c r="N11" i="1" s="1"/>
  <c r="F14" i="2"/>
  <c r="F15" i="2" s="1"/>
  <c r="N6" i="2" s="1"/>
  <c r="N4" i="2"/>
  <c r="G13" i="2"/>
  <c r="G10" i="2"/>
  <c r="G11" i="2" s="1"/>
  <c r="I6" i="2"/>
  <c r="H7" i="2"/>
  <c r="G14" i="2" l="1"/>
  <c r="G15" i="2" s="1"/>
  <c r="O6" i="2" s="1"/>
  <c r="J6" i="2"/>
  <c r="J7" i="2" s="1"/>
  <c r="I7" i="2"/>
  <c r="O4" i="2"/>
  <c r="H13" i="2"/>
  <c r="H10" i="2"/>
  <c r="H11" i="2" s="1"/>
  <c r="H14" i="2" l="1"/>
  <c r="H15" i="2" s="1"/>
  <c r="P6" i="2" s="1"/>
  <c r="P4" i="2"/>
  <c r="I13" i="2"/>
  <c r="I10" i="2"/>
  <c r="I11" i="2" s="1"/>
  <c r="J13" i="2"/>
  <c r="J10" i="2"/>
  <c r="J11" i="2" s="1"/>
  <c r="J14" i="2" l="1"/>
  <c r="J15" i="2" s="1"/>
  <c r="R6" i="2" s="1"/>
  <c r="I14" i="2"/>
  <c r="I15" i="2" s="1"/>
  <c r="Q6" i="2" s="1"/>
  <c r="R4" i="2"/>
  <c r="Q4" i="2"/>
  <c r="M5" i="2" s="1"/>
  <c r="M11" i="2" s="1"/>
  <c r="M7" i="2" l="1"/>
  <c r="N11" i="2" s="1"/>
  <c r="F6" i="3" l="1"/>
  <c r="F7" i="3" s="1"/>
  <c r="F13" i="3" l="1"/>
  <c r="F10" i="3"/>
  <c r="F11" i="3" s="1"/>
  <c r="F14" i="3" s="1"/>
  <c r="G6" i="3"/>
  <c r="G7" i="3" l="1"/>
  <c r="H6" i="3"/>
  <c r="N4" i="3"/>
  <c r="F15" i="3"/>
  <c r="N6" i="3" s="1"/>
  <c r="H7" i="3" l="1"/>
  <c r="I6" i="3"/>
  <c r="G10" i="3"/>
  <c r="G13" i="3"/>
  <c r="G11" i="3" l="1"/>
  <c r="G14" i="3" s="1"/>
  <c r="G15" i="3" s="1"/>
  <c r="O6" i="3" s="1"/>
  <c r="O4" i="3"/>
  <c r="I7" i="3"/>
  <c r="J6" i="3"/>
  <c r="J7" i="3" s="1"/>
  <c r="H13" i="3"/>
  <c r="H10" i="3"/>
  <c r="H11" i="3" l="1"/>
  <c r="H14" i="3" s="1"/>
  <c r="H15" i="3" s="1"/>
  <c r="P6" i="3" s="1"/>
  <c r="P4" i="3"/>
  <c r="J10" i="3"/>
  <c r="J13" i="3"/>
  <c r="I13" i="3"/>
  <c r="I10" i="3"/>
  <c r="I11" i="3" l="1"/>
  <c r="I14" i="3" s="1"/>
  <c r="I15" i="3" s="1"/>
  <c r="Q6" i="3" s="1"/>
  <c r="J11" i="3"/>
  <c r="J14" i="3" s="1"/>
  <c r="J15" i="3" s="1"/>
  <c r="R6" i="3" s="1"/>
  <c r="M7" i="3" s="1"/>
  <c r="Q4" i="3"/>
  <c r="R4" i="3"/>
  <c r="M5" i="3" l="1"/>
  <c r="M11" i="3" l="1"/>
  <c r="N11" i="3"/>
  <c r="U1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<sst xmlns="http://schemas.openxmlformats.org/spreadsheetml/2006/main" count="143" uniqueCount="45">
  <si>
    <t>Before-tax cash flow</t>
  </si>
  <si>
    <t>NOI</t>
  </si>
  <si>
    <t>Taxable income</t>
  </si>
  <si>
    <t>Depreciation</t>
  </si>
  <si>
    <t xml:space="preserve">Tax </t>
  </si>
  <si>
    <t>After-tax cash flow</t>
  </si>
  <si>
    <t>Tax</t>
  </si>
  <si>
    <t>Net Operation Income (NOI)</t>
  </si>
  <si>
    <t>Before-tax cash flow (BTCF)</t>
  </si>
  <si>
    <t>After-tax cash flow (ATCF)</t>
  </si>
  <si>
    <t>Sales price</t>
  </si>
  <si>
    <t>BTCF</t>
  </si>
  <si>
    <t>Tax in year of sale</t>
  </si>
  <si>
    <t>Original cost basis</t>
  </si>
  <si>
    <t>Accumulated depreciation</t>
  </si>
  <si>
    <t>Adjusted basis</t>
  </si>
  <si>
    <t>Capital gain</t>
  </si>
  <si>
    <t>Tax from sale</t>
  </si>
  <si>
    <t>ATCF</t>
  </si>
  <si>
    <t>Debt service (DS) - Interest only</t>
  </si>
  <si>
    <t>Purchase Price</t>
  </si>
  <si>
    <t>Building Value</t>
  </si>
  <si>
    <t>Land Value</t>
  </si>
  <si>
    <t>Total Value</t>
  </si>
  <si>
    <t>Loan assumptions</t>
  </si>
  <si>
    <t>Loan amount</t>
  </si>
  <si>
    <t>Interest rate</t>
  </si>
  <si>
    <t>Term</t>
  </si>
  <si>
    <t>Interest only</t>
  </si>
  <si>
    <t>Income assumptions</t>
  </si>
  <si>
    <t>Income tax</t>
  </si>
  <si>
    <t>Resale Price</t>
  </si>
  <si>
    <t>Holdin period</t>
  </si>
  <si>
    <t>5 year</t>
  </si>
  <si>
    <t>Years</t>
  </si>
  <si>
    <t>Cash Flow from Sale</t>
  </si>
  <si>
    <t>Mortgage balance</t>
  </si>
  <si>
    <t>BT-IRR</t>
  </si>
  <si>
    <t>AT-IRR</t>
  </si>
  <si>
    <t>Loan-to-Equity</t>
  </si>
  <si>
    <t>Debt-to Equity</t>
  </si>
  <si>
    <t>Interest Rate</t>
  </si>
  <si>
    <t>Cash Flow from Operations</t>
  </si>
  <si>
    <t>Break Even Int. rate</t>
  </si>
  <si>
    <t>Depreciation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</si>
</sst>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1" xfId="0" applyBorder="1"/>
    <xf numFmtId="164" fontId="0" fillId="0" borderId="0" xfId="1" applyNumberFormat="1" applyFont="1"/>
    <xf numFmtId="0" fontId="0" fillId="2" borderId="0" xfId="0" applyFill="1"/>
    <xf numFmtId="164" fontId="0" fillId="2" borderId="0" xfId="1" applyNumberFormat="1" applyFont="1" applyFill="1"/>
    <xf numFmtId="0" fontId="0" fillId="0" borderId="2" xfId="0" applyBorder="1"/>
    <xf numFmtId="164" fontId="0" fillId="0" borderId="2" xfId="1" applyNumberFormat="1" applyFont="1" applyBorder="1"/>
    <xf numFmtId="0" fontId="0" fillId="0" borderId="3" xfId="0" applyBorder="1"/>
    <xf numFmtId="164" fontId="0" fillId="0" borderId="3" xfId="1" applyNumberFormat="1" applyFont="1" applyBorder="1"/>
    <xf numFmtId="9" fontId="0" fillId="0" borderId="0" xfId="0" applyNumberFormat="1"/>
    <xf numFmtId="164" fontId="0" fillId="0" borderId="0" xfId="2" applyNumberFormat="1" applyFont="1" applyAlignment="1">
      <alignment horizontal="right" vertical="center"/>
    </xf>
    <xf numFmtId="9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164" fontId="0" fillId="0" borderId="0" xfId="1" applyNumberFormat="1" applyFont="1" applyFill="1"/>
    <xf numFmtId="164" fontId="0" fillId="0" borderId="2" xfId="1" applyNumberFormat="1" applyFont="1" applyFill="1" applyBorder="1"/>
    <xf numFmtId="164" fontId="0" fillId="2" borderId="0" xfId="2" applyNumberFormat="1" applyFont="1" applyFill="1" applyAlignment="1">
      <alignment horizontal="right" vertical="center"/>
    </xf>
    <xf numFmtId="0" fontId="0" fillId="2" borderId="0" xfId="0" applyFill="1" applyAlignment="1">
      <alignment horizontal="right" vertical="center"/>
    </xf>
    <xf numFmtId="164" fontId="2" fillId="0" borderId="2" xfId="1" applyNumberFormat="1" applyFont="1" applyBorder="1"/>
    <xf numFmtId="0" fontId="0" fillId="2" borderId="1" xfId="0" applyFill="1" applyBorder="1" applyAlignment="1">
      <alignment horizontal="center"/>
    </xf>
    <xf numFmtId="164" fontId="0" fillId="0" borderId="0" xfId="0" applyNumberFormat="1"/>
    <xf numFmtId="10" fontId="0" fillId="0" borderId="0" xfId="0" applyNumberFormat="1"/>
    <xf numFmtId="9" fontId="0" fillId="3" borderId="0" xfId="0" applyNumberFormat="1" applyFill="1"/>
    <xf numFmtId="164" fontId="0" fillId="0" borderId="0" xfId="2" applyNumberFormat="1" applyFont="1" applyFill="1" applyAlignment="1">
      <alignment horizontal="right" vertical="center"/>
    </xf>
    <xf numFmtId="10" fontId="0" fillId="0" borderId="1" xfId="0" applyNumberFormat="1" applyBorder="1"/>
    <xf numFmtId="164" fontId="0" fillId="0" borderId="4" xfId="1" applyNumberFormat="1" applyFont="1" applyFill="1" applyBorder="1"/>
    <xf numFmtId="9" fontId="0" fillId="0" borderId="5" xfId="0" applyNumberFormat="1" applyBorder="1"/>
    <xf numFmtId="9" fontId="0" fillId="0" borderId="4" xfId="0" applyNumberFormat="1" applyBorder="1"/>
    <xf numFmtId="10" fontId="0" fillId="0" borderId="0" xfId="3" applyNumberFormat="1" applyFont="1"/>
    <xf numFmtId="9" fontId="0" fillId="3" borderId="0" xfId="0" applyNumberFormat="1" applyFill="1" applyAlignment="1">
      <alignment horizontal="right" vertical="center"/>
    </xf>
    <xf numFmtId="0" fontId="0" fillId="3" borderId="0" xfId="0" applyFill="1"/>
    <xf numFmtId="0" fontId="0" fillId="0" borderId="0" xfId="0" applyAlignment="1">
      <alignment horizontal="right"/>
    </xf>
    <xf numFmtId="10" fontId="0" fillId="3" borderId="1" xfId="0" applyNumberFormat="1" applyFill="1" applyBorder="1"/>
    <xf numFmtId="10" fontId="3" fillId="0" borderId="0" xfId="3" applyNumberFormat="1" applyFont="1"/>
    <xf numFmtId="165" fontId="0" fillId="0" borderId="5" xfId="0" applyNumberFormat="1" applyBorder="1"/>
    <xf numFmtId="10" fontId="0" fillId="0" borderId="4" xfId="0" applyNumberFormat="1" applyBorder="1"/>
    <xf numFmtId="10" fontId="0" fillId="3" borderId="4" xfId="0" applyNumberFormat="1" applyFill="1" applyBorder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 textRotation="90"/>
    </xf>
    <xf numFmtId="0" fontId="0" fillId="0" borderId="1" xfId="0" applyBorder="1" applyAlignment="1">
      <alignment horizontal="center" vertical="center"/>
    </xf>
    <xf numFmtId="10" fontId="0" fillId="3" borderId="0" xfId="3" applyNumberFormat="1" applyFont="1" applyFill="1" applyAlignment="1">
      <alignment horizontal="right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D/E vs IRR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'Positive Leverage &amp; IRR'!$M$10</c:f>
              <c:strCache>
                <c:ptCount val="1"/>
                <c:pt idx="0">
                  <c:v>BT-IRR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'Positive Leverage &amp; IRR'!$L$12:$L$24</c:f>
              <c:numCache>
                <c:formatCode>0%</c:formatCode>
                <c:ptCount val="13"/>
                <c:pt idx="0">
                  <c:v>0.2</c:v>
                </c:pt>
                <c:pt idx="1">
                  <c:v>0.25</c:v>
                </c:pt>
                <c:pt idx="2">
                  <c:v>0.3</c:v>
                </c:pt>
                <c:pt idx="3">
                  <c:v>0.35</c:v>
                </c:pt>
                <c:pt idx="4">
                  <c:v>0.39999999999999997</c:v>
                </c:pt>
                <c:pt idx="5">
                  <c:v>0.44999999999999996</c:v>
                </c:pt>
                <c:pt idx="6">
                  <c:v>0.49999999999999994</c:v>
                </c:pt>
                <c:pt idx="7">
                  <c:v>0.54999999999999993</c:v>
                </c:pt>
                <c:pt idx="8">
                  <c:v>0.6</c:v>
                </c:pt>
                <c:pt idx="9">
                  <c:v>0.65</c:v>
                </c:pt>
                <c:pt idx="10">
                  <c:v>0.70000000000000007</c:v>
                </c:pt>
                <c:pt idx="11">
                  <c:v>0.75000000000000011</c:v>
                </c:pt>
                <c:pt idx="12">
                  <c:v>0.80000000000000016</c:v>
                </c:pt>
              </c:numCache>
            </c:numRef>
          </c:xVal>
          <c:yVal>
            <c:numRef>
              <c:f>'Positive Leverage &amp; IRR'!$M$12:$M$24</c:f>
              <c:numCache>
                <c:formatCode>0.00%</c:formatCode>
                <c:ptCount val="13"/>
                <c:pt idx="0">
                  <c:v>0.125</c:v>
                </c:pt>
                <c:pt idx="1">
                  <c:v>0.12666666666666671</c:v>
                </c:pt>
                <c:pt idx="2">
                  <c:v>0.12857142857142878</c:v>
                </c:pt>
                <c:pt idx="3">
                  <c:v>0.13076923076923075</c:v>
                </c:pt>
                <c:pt idx="4">
                  <c:v>0.1333333333333333</c:v>
                </c:pt>
                <c:pt idx="5">
                  <c:v>0.13636363636363646</c:v>
                </c:pt>
                <c:pt idx="6">
                  <c:v>0.1399999999999999</c:v>
                </c:pt>
                <c:pt idx="7">
                  <c:v>0.14444444444444371</c:v>
                </c:pt>
                <c:pt idx="8">
                  <c:v>0.14999999999999813</c:v>
                </c:pt>
                <c:pt idx="9">
                  <c:v>0.15714285714284726</c:v>
                </c:pt>
                <c:pt idx="10">
                  <c:v>0.16666666666660634</c:v>
                </c:pt>
                <c:pt idx="11">
                  <c:v>0.17999999999951055</c:v>
                </c:pt>
                <c:pt idx="12">
                  <c:v>0.19999999999999996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48B-43E4-A715-F49696284526}"/>
            </c:ext>
          </c:extLst>
        </c:ser>
        <c:ser>
          <c:idx val="1"/>
          <c:order val="1"/>
          <c:tx>
            <c:strRef>
              <c:f>'Positive Leverage &amp; IRR'!$N$10</c:f>
              <c:strCache>
                <c:ptCount val="1"/>
                <c:pt idx="0">
                  <c:v>AT-IRR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'Positive Leverage &amp; IRR'!$L$12:$L$24</c:f>
              <c:numCache>
                <c:formatCode>0%</c:formatCode>
                <c:ptCount val="13"/>
                <c:pt idx="0">
                  <c:v>0.2</c:v>
                </c:pt>
                <c:pt idx="1">
                  <c:v>0.25</c:v>
                </c:pt>
                <c:pt idx="2">
                  <c:v>0.3</c:v>
                </c:pt>
                <c:pt idx="3">
                  <c:v>0.35</c:v>
                </c:pt>
                <c:pt idx="4">
                  <c:v>0.39999999999999997</c:v>
                </c:pt>
                <c:pt idx="5">
                  <c:v>0.44999999999999996</c:v>
                </c:pt>
                <c:pt idx="6">
                  <c:v>0.49999999999999994</c:v>
                </c:pt>
                <c:pt idx="7">
                  <c:v>0.54999999999999993</c:v>
                </c:pt>
                <c:pt idx="8">
                  <c:v>0.6</c:v>
                </c:pt>
                <c:pt idx="9">
                  <c:v>0.65</c:v>
                </c:pt>
                <c:pt idx="10">
                  <c:v>0.70000000000000007</c:v>
                </c:pt>
                <c:pt idx="11">
                  <c:v>0.75000000000000011</c:v>
                </c:pt>
                <c:pt idx="12">
                  <c:v>0.80000000000000016</c:v>
                </c:pt>
              </c:numCache>
            </c:numRef>
          </c:xVal>
          <c:yVal>
            <c:numRef>
              <c:f>'Positive Leverage &amp; IRR'!$N$12:$N$24</c:f>
              <c:numCache>
                <c:formatCode>0.00%</c:formatCode>
                <c:ptCount val="13"/>
                <c:pt idx="0">
                  <c:v>0.10123467950353349</c:v>
                </c:pt>
                <c:pt idx="1">
                  <c:v>0.10266706180508955</c:v>
                </c:pt>
                <c:pt idx="2">
                  <c:v>0.10430659808411535</c:v>
                </c:pt>
                <c:pt idx="3">
                  <c:v>0.10620171197671979</c:v>
                </c:pt>
                <c:pt idx="4">
                  <c:v>0.10841718801815303</c:v>
                </c:pt>
                <c:pt idx="5">
                  <c:v>0.11104171522644224</c:v>
                </c:pt>
                <c:pt idx="6">
                  <c:v>0.11420002573369104</c:v>
                </c:pt>
                <c:pt idx="7">
                  <c:v>0.11807326034322485</c:v>
                </c:pt>
                <c:pt idx="8">
                  <c:v>0.12293488788216811</c:v>
                </c:pt>
                <c:pt idx="9">
                  <c:v>0.12921804001050119</c:v>
                </c:pt>
                <c:pt idx="10">
                  <c:v>0.13765172886339605</c:v>
                </c:pt>
                <c:pt idx="11">
                  <c:v>0.14956483794289999</c:v>
                </c:pt>
                <c:pt idx="12">
                  <c:v>0.16766021624089622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48B-43E4-A715-F49696284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3283040"/>
        <c:axId val="1779261280"/>
      </c:scatterChart>
      <c:valAx>
        <c:axId val="1603283040"/>
        <c:scaling>
          <c:orientation val="minMax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9261280"/>
        <c:crosses val="autoZero"/>
        <c:crossBetween val="midCat"/>
      </c:valAx>
      <c:valAx>
        <c:axId val="177926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3283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D/E</a:t>
            </a:r>
            <a:r>
              <a:rPr lang="en-US" baseline="0"/>
              <a:t> vs IRR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'Negative Leverage &amp; IRR'!$M$10</c:f>
              <c:strCache>
                <c:ptCount val="1"/>
                <c:pt idx="0">
                  <c:v>BT-IRR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'Negative Leverage &amp; IRR'!$L$12:$L$24</c:f>
              <c:numCache>
                <c:formatCode>0%</c:formatCode>
                <c:ptCount val="13"/>
                <c:pt idx="0">
                  <c:v>0.25</c:v>
                </c:pt>
                <c:pt idx="1">
                  <c:v>0.3</c:v>
                </c:pt>
                <c:pt idx="2">
                  <c:v>0.35</c:v>
                </c:pt>
                <c:pt idx="3">
                  <c:v>0.39999999999999997</c:v>
                </c:pt>
                <c:pt idx="4">
                  <c:v>0.44999999999999996</c:v>
                </c:pt>
                <c:pt idx="5">
                  <c:v>0.49999999999999994</c:v>
                </c:pt>
                <c:pt idx="6">
                  <c:v>0.54999999999999993</c:v>
                </c:pt>
                <c:pt idx="7">
                  <c:v>0.6</c:v>
                </c:pt>
                <c:pt idx="8">
                  <c:v>0.65</c:v>
                </c:pt>
                <c:pt idx="9">
                  <c:v>0.70000000000000007</c:v>
                </c:pt>
                <c:pt idx="10">
                  <c:v>0.75000000000000011</c:v>
                </c:pt>
                <c:pt idx="11">
                  <c:v>0.80000000000000016</c:v>
                </c:pt>
                <c:pt idx="12">
                  <c:v>0.8500000000000002</c:v>
                </c:pt>
              </c:numCache>
            </c:numRef>
          </c:xVal>
          <c:yVal>
            <c:numRef>
              <c:f>'Negative Leverage &amp; IRR'!$M$12:$M$24</c:f>
              <c:numCache>
                <c:formatCode>0.00%</c:formatCode>
                <c:ptCount val="13"/>
                <c:pt idx="0">
                  <c:v>0.11333333333329065</c:v>
                </c:pt>
                <c:pt idx="1">
                  <c:v>0.11142857142855767</c:v>
                </c:pt>
                <c:pt idx="2">
                  <c:v>0.10923076923076636</c:v>
                </c:pt>
                <c:pt idx="3">
                  <c:v>0.10666666666666647</c:v>
                </c:pt>
                <c:pt idx="4">
                  <c:v>0.10363636363636375</c:v>
                </c:pt>
                <c:pt idx="5">
                  <c:v>0.10000000000000009</c:v>
                </c:pt>
                <c:pt idx="6">
                  <c:v>9.5555555555555394E-2</c:v>
                </c:pt>
                <c:pt idx="7">
                  <c:v>8.9999999999993419E-2</c:v>
                </c:pt>
                <c:pt idx="8">
                  <c:v>8.2857142856718857E-2</c:v>
                </c:pt>
                <c:pt idx="9">
                  <c:v>7.333333333333325E-2</c:v>
                </c:pt>
                <c:pt idx="10">
                  <c:v>6.0000000000000719E-2</c:v>
                </c:pt>
                <c:pt idx="11">
                  <c:v>4.0000000000225411E-2</c:v>
                </c:pt>
                <c:pt idx="12">
                  <c:v>6.6666666666665986E-3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D-4E93-BD1D-EA1A2BB5E971}"/>
            </c:ext>
          </c:extLst>
        </c:ser>
        <c:ser>
          <c:idx val="1"/>
          <c:order val="1"/>
          <c:tx>
            <c:strRef>
              <c:f>'Negative Leverage &amp; IRR'!$N$10</c:f>
              <c:strCache>
                <c:ptCount val="1"/>
                <c:pt idx="0">
                  <c:v>AT-IRR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'Negative Leverage &amp; IRR'!$L$12:$L$24</c:f>
              <c:numCache>
                <c:formatCode>0%</c:formatCode>
                <c:ptCount val="13"/>
                <c:pt idx="0">
                  <c:v>0.25</c:v>
                </c:pt>
                <c:pt idx="1">
                  <c:v>0.3</c:v>
                </c:pt>
                <c:pt idx="2">
                  <c:v>0.35</c:v>
                </c:pt>
                <c:pt idx="3">
                  <c:v>0.39999999999999997</c:v>
                </c:pt>
                <c:pt idx="4">
                  <c:v>0.44999999999999996</c:v>
                </c:pt>
                <c:pt idx="5">
                  <c:v>0.49999999999999994</c:v>
                </c:pt>
                <c:pt idx="6">
                  <c:v>0.54999999999999993</c:v>
                </c:pt>
                <c:pt idx="7">
                  <c:v>0.6</c:v>
                </c:pt>
                <c:pt idx="8">
                  <c:v>0.65</c:v>
                </c:pt>
                <c:pt idx="9">
                  <c:v>0.70000000000000007</c:v>
                </c:pt>
                <c:pt idx="10">
                  <c:v>0.75000000000000011</c:v>
                </c:pt>
                <c:pt idx="11">
                  <c:v>0.80000000000000016</c:v>
                </c:pt>
                <c:pt idx="12">
                  <c:v>0.8500000000000002</c:v>
                </c:pt>
              </c:numCache>
            </c:numRef>
          </c:xVal>
          <c:yVal>
            <c:numRef>
              <c:f>'Negative Leverage &amp; IRR'!$N$12:$N$24</c:f>
              <c:numCache>
                <c:formatCode>0.00%</c:formatCode>
                <c:ptCount val="13"/>
                <c:pt idx="0">
                  <c:v>8.314173294431737E-2</c:v>
                </c:pt>
                <c:pt idx="1">
                  <c:v>8.1856982990875071E-2</c:v>
                </c:pt>
                <c:pt idx="2">
                  <c:v>8.0370531422155E-2</c:v>
                </c:pt>
                <c:pt idx="3">
                  <c:v>7.8630806131327002E-2</c:v>
                </c:pt>
                <c:pt idx="4">
                  <c:v>7.6567003551683888E-2</c:v>
                </c:pt>
                <c:pt idx="5">
                  <c:v>7.4079195193511582E-2</c:v>
                </c:pt>
                <c:pt idx="6">
                  <c:v>7.1021619709434214E-2</c:v>
                </c:pt>
                <c:pt idx="7">
                  <c:v>6.7172966716932958E-2</c:v>
                </c:pt>
                <c:pt idx="8">
                  <c:v>6.2180052482522674E-2</c:v>
                </c:pt>
                <c:pt idx="9">
                  <c:v>5.5442140685409758E-2</c:v>
                </c:pt>
                <c:pt idx="10">
                  <c:v>4.584708448657504E-2</c:v>
                </c:pt>
                <c:pt idx="11">
                  <c:v>3.1076149649226892E-2</c:v>
                </c:pt>
                <c:pt idx="12">
                  <c:v>5.3345470579249099E-3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D-4E93-BD1D-EA1A2BB5E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3045232"/>
        <c:axId val="1254932272"/>
      </c:scatterChart>
      <c:valAx>
        <c:axId val="1763045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4932272"/>
        <c:crosses val="autoZero"/>
        <c:crossBetween val="midCat"/>
      </c:valAx>
      <c:valAx>
        <c:axId val="125493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3045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Break</a:t>
            </a:r>
            <a:r>
              <a:rPr lang="en-US" baseline="0"/>
              <a:t> Even Interest Rate for Leverage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'BreackEven Interest Rate'!$M$10</c:f>
              <c:strCache>
                <c:ptCount val="1"/>
                <c:pt idx="0">
                  <c:v>BT-IRR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'BreackEven Interest Rate'!$L$12:$L$21</c:f>
              <c:numCache>
                <c:formatCode>0%</c:formatCode>
                <c:ptCount val="10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</c:numCache>
            </c:numRef>
          </c:xVal>
          <c:yVal>
            <c:numRef>
              <c:f>'BreackEven Interest Rate'!$M$12:$M$21</c:f>
              <c:numCache>
                <c:formatCode>0.00%</c:formatCode>
                <c:ptCount val="10"/>
                <c:pt idx="0">
                  <c:v>0.11999999999999988</c:v>
                </c:pt>
                <c:pt idx="1">
                  <c:v>0.11986805967115011</c:v>
                </c:pt>
                <c:pt idx="2">
                  <c:v>0.11970313426008716</c:v>
                </c:pt>
                <c:pt idx="3">
                  <c:v>0.11949108730300684</c:v>
                </c:pt>
                <c:pt idx="4">
                  <c:v>0.11920835802689966</c:v>
                </c:pt>
                <c:pt idx="5">
                  <c:v>0.11881253704034944</c:v>
                </c:pt>
                <c:pt idx="6">
                  <c:v>0.11821880556008524</c:v>
                </c:pt>
                <c:pt idx="7">
                  <c:v>0.11722925309385923</c:v>
                </c:pt>
                <c:pt idx="8">
                  <c:v>0.11525014816128065</c:v>
                </c:pt>
                <c:pt idx="9">
                  <c:v>0.10931283336314035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029-4F9D-ADE9-31335E8554A8}"/>
            </c:ext>
          </c:extLst>
        </c:ser>
        <c:ser>
          <c:idx val="1"/>
          <c:order val="1"/>
          <c:tx>
            <c:strRef>
              <c:f>'BreackEven Interest Rate'!$N$10</c:f>
              <c:strCache>
                <c:ptCount val="1"/>
                <c:pt idx="0">
                  <c:v>AT-IRR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'BreackEven Interest Rate'!$L$12:$L$21</c:f>
              <c:numCache>
                <c:formatCode>0%</c:formatCode>
                <c:ptCount val="10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</c:numCache>
            </c:numRef>
          </c:xVal>
          <c:yVal>
            <c:numRef>
              <c:f>'BreackEven Interest Rate'!$N$12:$N$21</c:f>
              <c:numCache>
                <c:formatCode>0.00%</c:formatCode>
                <c:ptCount val="10"/>
                <c:pt idx="0">
                  <c:v>9.6949970367720573E-2</c:v>
                </c:pt>
                <c:pt idx="1">
                  <c:v>9.6949970367720351E-2</c:v>
                </c:pt>
                <c:pt idx="2">
                  <c:v>9.6949970367720351E-2</c:v>
                </c:pt>
                <c:pt idx="3">
                  <c:v>9.6949970367720573E-2</c:v>
                </c:pt>
                <c:pt idx="4">
                  <c:v>9.6949970367720573E-2</c:v>
                </c:pt>
                <c:pt idx="5">
                  <c:v>9.6949970367720351E-2</c:v>
                </c:pt>
                <c:pt idx="6">
                  <c:v>9.6949970367720351E-2</c:v>
                </c:pt>
                <c:pt idx="7">
                  <c:v>9.6949970367720351E-2</c:v>
                </c:pt>
                <c:pt idx="8">
                  <c:v>9.6949970367720129E-2</c:v>
                </c:pt>
                <c:pt idx="9">
                  <c:v>9.6949970367719907E-2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029-4F9D-ADE9-31335E855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8813312"/>
        <c:axId val="1758812352"/>
      </c:scatterChart>
      <c:valAx>
        <c:axId val="1758813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812352"/>
        <c:crosses val="autoZero"/>
        <c:crossBetween val="midCat"/>
      </c:valAx>
      <c:valAx>
        <c:axId val="175881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8133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Leverage</a:t>
            </a:r>
            <a:r>
              <a:rPr lang="en-US" baseline="0"/>
              <a:t> at Break Even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'BreackEven Interest Rate'!$V$11</c:f>
              <c:strCache>
                <c:ptCount val="1"/>
                <c:pt idx="0">
                  <c:v>60.00%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'BreackEven Interest Rate'!$U$12:$U$21</c:f>
              <c:numCache>
                <c:formatCode>0.00%</c:formatCode>
                <c:ptCount val="10"/>
                <c:pt idx="0">
                  <c:v>7.5556706373568011E-2</c:v>
                </c:pt>
                <c:pt idx="1">
                  <c:v>8.3112377010924818E-2</c:v>
                </c:pt>
                <c:pt idx="2">
                  <c:v>9.1423614712017306E-2</c:v>
                </c:pt>
                <c:pt idx="3">
                  <c:v>0.10056597618321905</c:v>
                </c:pt>
                <c:pt idx="4">
                  <c:v>0.11062257380154096</c:v>
                </c:pt>
                <c:pt idx="5">
                  <c:v>0.12168483118169507</c:v>
                </c:pt>
                <c:pt idx="6">
                  <c:v>0.13385331429986458</c:v>
                </c:pt>
                <c:pt idx="7">
                  <c:v>0.14723864572985104</c:v>
                </c:pt>
                <c:pt idx="8">
                  <c:v>0.16196251030283615</c:v>
                </c:pt>
                <c:pt idx="9">
                  <c:v>0.17815876133311978</c:v>
                </c:pt>
              </c:numCache>
            </c:numRef>
          </c:xVal>
          <c:yVal>
            <c:numRef>
              <c:f>'BreackEven Interest Rate'!$V$12:$V$21</c:f>
              <c:numCache>
                <c:formatCode>0.00%</c:formatCode>
                <c:ptCount val="10"/>
                <c:pt idx="0">
                  <c:v>0.1528753978273989</c:v>
                </c:pt>
                <c:pt idx="1">
                  <c:v>0.14362463499263844</c:v>
                </c:pt>
                <c:pt idx="2">
                  <c:v>0.13344453366902775</c:v>
                </c:pt>
                <c:pt idx="3">
                  <c:v>0.12224115815544923</c:v>
                </c:pt>
                <c:pt idx="4">
                  <c:v>0.10991093175597766</c:v>
                </c:pt>
                <c:pt idx="5">
                  <c:v>9.6339607826354312E-2</c:v>
                </c:pt>
                <c:pt idx="6">
                  <c:v>8.1401119860885052E-2</c:v>
                </c:pt>
                <c:pt idx="7">
                  <c:v>6.4956293274795351E-2</c:v>
                </c:pt>
                <c:pt idx="8">
                  <c:v>4.6851398307194536E-2</c:v>
                </c:pt>
                <c:pt idx="9">
                  <c:v>2.6916519584563092E-2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556-463F-A002-309E7DD73888}"/>
            </c:ext>
          </c:extLst>
        </c:ser>
        <c:ser>
          <c:idx val="1"/>
          <c:order val="1"/>
          <c:tx>
            <c:strRef>
              <c:f>'BreackEven Interest Rate'!$W$11</c:f>
              <c:strCache>
                <c:ptCount val="1"/>
                <c:pt idx="0">
                  <c:v>70.00%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'BreackEven Interest Rate'!$U$12:$U$21</c:f>
              <c:numCache>
                <c:formatCode>0.00%</c:formatCode>
                <c:ptCount val="10"/>
                <c:pt idx="0">
                  <c:v>7.5556706373568011E-2</c:v>
                </c:pt>
                <c:pt idx="1">
                  <c:v>8.3112377010924818E-2</c:v>
                </c:pt>
                <c:pt idx="2">
                  <c:v>9.1423614712017306E-2</c:v>
                </c:pt>
                <c:pt idx="3">
                  <c:v>0.10056597618321905</c:v>
                </c:pt>
                <c:pt idx="4">
                  <c:v>0.11062257380154096</c:v>
                </c:pt>
                <c:pt idx="5">
                  <c:v>0.12168483118169507</c:v>
                </c:pt>
                <c:pt idx="6">
                  <c:v>0.13385331429986458</c:v>
                </c:pt>
                <c:pt idx="7">
                  <c:v>0.14723864572985104</c:v>
                </c:pt>
                <c:pt idx="8">
                  <c:v>0.16196251030283615</c:v>
                </c:pt>
                <c:pt idx="9">
                  <c:v>0.17815876133311978</c:v>
                </c:pt>
              </c:numCache>
            </c:numRef>
          </c:xVal>
          <c:yVal>
            <c:numRef>
              <c:f>'BreackEven Interest Rate'!$W$12:$W$21</c:f>
              <c:numCache>
                <c:formatCode>0.00%</c:formatCode>
                <c:ptCount val="10"/>
                <c:pt idx="0">
                  <c:v>0.18448838664928124</c:v>
                </c:pt>
                <c:pt idx="1">
                  <c:v>0.17002370995283944</c:v>
                </c:pt>
                <c:pt idx="2">
                  <c:v>0.15409927374154342</c:v>
                </c:pt>
                <c:pt idx="3">
                  <c:v>0.13656576463064662</c:v>
                </c:pt>
                <c:pt idx="4">
                  <c:v>0.11725803964187853</c:v>
                </c:pt>
                <c:pt idx="5">
                  <c:v>9.5993282958176218E-2</c:v>
                </c:pt>
                <c:pt idx="6">
                  <c:v>7.2568898426186745E-2</c:v>
                </c:pt>
                <c:pt idx="7">
                  <c:v>4.6760086892596364E-2</c:v>
                </c:pt>
                <c:pt idx="8">
                  <c:v>1.8317046294488604E-2</c:v>
                </c:pt>
                <c:pt idx="9">
                  <c:v>-1.3038279315934709E-2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556-463F-A002-309E7DD73888}"/>
            </c:ext>
          </c:extLst>
        </c:ser>
        <c:ser>
          <c:idx val="2"/>
          <c:order val="2"/>
          <c:tx>
            <c:strRef>
              <c:f>'BreackEven Interest Rate'!$X$11</c:f>
              <c:strCache>
                <c:ptCount val="1"/>
                <c:pt idx="0">
                  <c:v>80.00%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'BreackEven Interest Rate'!$U$12:$U$21</c:f>
              <c:numCache>
                <c:formatCode>0.00%</c:formatCode>
                <c:ptCount val="10"/>
                <c:pt idx="0">
                  <c:v>7.5556706373568011E-2</c:v>
                </c:pt>
                <c:pt idx="1">
                  <c:v>8.3112377010924818E-2</c:v>
                </c:pt>
                <c:pt idx="2">
                  <c:v>9.1423614712017306E-2</c:v>
                </c:pt>
                <c:pt idx="3">
                  <c:v>0.10056597618321905</c:v>
                </c:pt>
                <c:pt idx="4">
                  <c:v>0.11062257380154096</c:v>
                </c:pt>
                <c:pt idx="5">
                  <c:v>0.12168483118169507</c:v>
                </c:pt>
                <c:pt idx="6">
                  <c:v>0.13385331429986458</c:v>
                </c:pt>
                <c:pt idx="7">
                  <c:v>0.14723864572985104</c:v>
                </c:pt>
                <c:pt idx="8">
                  <c:v>0.16196251030283615</c:v>
                </c:pt>
                <c:pt idx="9">
                  <c:v>0.17815876133311978</c:v>
                </c:pt>
              </c:numCache>
            </c:numRef>
          </c:xVal>
          <c:yVal>
            <c:numRef>
              <c:f>'BreackEven Interest Rate'!$X$12:$X$21</c:f>
              <c:numCache>
                <c:formatCode>0.00%</c:formatCode>
                <c:ptCount val="10"/>
                <c:pt idx="0">
                  <c:v>0.24872201187960719</c:v>
                </c:pt>
                <c:pt idx="1">
                  <c:v>0.22371851767358719</c:v>
                </c:pt>
                <c:pt idx="2">
                  <c:v>0.19616053196778771</c:v>
                </c:pt>
                <c:pt idx="3">
                  <c:v>0.16577705747421834</c:v>
                </c:pt>
                <c:pt idx="4">
                  <c:v>0.13226505567473201</c:v>
                </c:pt>
                <c:pt idx="5">
                  <c:v>9.5284525687400645E-2</c:v>
                </c:pt>
                <c:pt idx="6">
                  <c:v>5.4452473686160241E-2</c:v>
                </c:pt>
                <c:pt idx="7">
                  <c:v>9.335471358641767E-3</c:v>
                </c:pt>
                <c:pt idx="8">
                  <c:v>-4.0559524970042893E-2</c:v>
                </c:pt>
                <c:pt idx="9">
                  <c:v>-9.5796342100857523E-2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556-463F-A002-309E7DD73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3367072"/>
        <c:axId val="813367552"/>
      </c:scatterChart>
      <c:valAx>
        <c:axId val="813367072"/>
        <c:scaling>
          <c:orientation val="minMax"/>
          <c:min val="5.000000000000001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367552"/>
        <c:crosses val="autoZero"/>
        <c:crossBetween val="midCat"/>
      </c:valAx>
      <c:valAx>
        <c:axId val="81336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367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91440</xdr:colOff>
      <xdr:row>8</xdr:row>
      <xdr:rowOff>163830</xdr:rowOff>
    </xdr:from>
    <xdr:to>
      <xdr:col>22</xdr:col>
      <xdr:colOff>30480</xdr:colOff>
      <xdr:row>24</xdr:row>
      <xdr:rowOff>83820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17D34A-51F3-CC62-8C6B-D9354BB096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8</xdr:row>
      <xdr:rowOff>167640</xdr:rowOff>
    </xdr:from>
    <xdr:to>
      <xdr:col>18</xdr:col>
      <xdr:colOff>388620</xdr:colOff>
      <xdr:row>24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BB00CA-7803-A4D6-2B21-6B9B135D91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45720</xdr:colOff>
      <xdr:row>9</xdr:row>
      <xdr:rowOff>0</xdr:rowOff>
    </xdr:from>
    <xdr:to>
      <xdr:col>18</xdr:col>
      <xdr:colOff>533400</xdr:colOff>
      <xdr:row>21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0B1B52-C911-35C3-F00F-99C2583A03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137160</xdr:colOff>
      <xdr:row>17</xdr:row>
      <xdr:rowOff>38100</xdr:rowOff>
    </xdr:from>
    <xdr:to>
      <xdr:col>3</xdr:col>
      <xdr:colOff>91759</xdr:colOff>
      <xdr:row>22</xdr:row>
      <xdr:rowOff>40134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4178B9-74D1-CA03-13B0-964398FE2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160" y="3101340"/>
          <a:ext cx="2286319" cy="924054"/>
        </a:xfrm>
        <a:prstGeom prst="rect">
          <a:avLst/>
        </a:prstGeom>
      </xdr:spPr>
    </xdr:pic>
    <xdr:clientData/>
  </xdr:twoCellAnchor>
  <xdr:twoCellAnchor>
    <xdr:from>
      <xdr:col>24</xdr:col>
      <xdr:colOff>571500</xdr:colOff>
      <xdr:row>3</xdr:row>
      <xdr:rowOff>167640</xdr:rowOff>
    </xdr:from>
    <xdr:to>
      <xdr:col>32</xdr:col>
      <xdr:colOff>266700</xdr:colOff>
      <xdr:row>21</xdr:row>
      <xdr:rowOff>106680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4FC257F-D2B8-0BCA-057A-7D45563DF9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27"/>
  <sheetViews>
    <sheetView showGridLines="0" workbookViewId="0">
      <selection activeCell="Y16" sqref="Y16"/>
    </sheetView>
  </sheetViews>
  <sheetFormatPr defaultRowHeight="14.4" x14ac:dyDescent="0.3"/>
  <cols>
    <col min="1" max="1" width="4" customWidth="1"/>
    <col min="2" max="2" width="18.77734375" customWidth="1"/>
    <col min="3" max="3" width="11.21875" bestFit="1" customWidth="1"/>
    <col min="4" max="4" width="3.6640625" customWidth="1"/>
    <col min="5" max="5" width="26.88671875" customWidth="1"/>
    <col min="6" max="7" width="11.109375" bestFit="1" customWidth="1"/>
    <col min="8" max="10" width="12.109375" bestFit="1" customWidth="1"/>
    <col min="11" max="11" width="4.77734375" customWidth="1"/>
    <col min="12" max="12" width="14.33203125" bestFit="1" customWidth="1"/>
    <col min="13" max="13" width="10.109375" bestFit="1" customWidth="1"/>
    <col min="18" max="18" width="9.5546875" bestFit="1" customWidth="1"/>
    <col min="2003" max="2003" width="2.5546875" customWidth="1"/>
  </cols>
  <sheetData>
    <row r="1" spans="2:18" ht="6.6" customHeight="1" x14ac:dyDescent="0.3"/>
    <row r="2" spans="2:18" ht="15" thickBot="1" x14ac:dyDescent="0.35">
      <c r="B2" s="3" t="s">
        <v>20</v>
      </c>
      <c r="C2" s="3"/>
      <c r="E2" s="36" t="s">
        <v>42</v>
      </c>
      <c r="F2" s="36"/>
      <c r="G2" s="36"/>
      <c r="H2" s="36"/>
      <c r="I2" s="36"/>
      <c r="J2" s="36"/>
    </row>
    <row r="3" spans="2:18" ht="15" thickBot="1" x14ac:dyDescent="0.35">
      <c r="B3" t="s">
        <v>21</v>
      </c>
      <c r="C3" s="10">
        <v>85000</v>
      </c>
      <c r="E3" s="1" t="s">
        <v>34</v>
      </c>
      <c r="F3" s="1" cm="1">
        <f t="array" ref="F3:J3">_xlfn.SEQUENCE(1,5)</f>
        <v>1</v>
      </c>
      <c r="G3" s="1">
        <v>2</v>
      </c>
      <c r="H3" s="1">
        <v>3</v>
      </c>
      <c r="I3" s="1">
        <v>4</v>
      </c>
      <c r="J3" s="1">
        <v>5</v>
      </c>
      <c r="L3" s="1"/>
      <c r="M3" s="39">
        <v>0</v>
      </c>
      <c r="N3" s="39">
        <v>1</v>
      </c>
      <c r="O3" s="39">
        <v>2</v>
      </c>
      <c r="P3" s="39">
        <v>3</v>
      </c>
      <c r="Q3" s="39">
        <v>4</v>
      </c>
      <c r="R3" s="39">
        <v>5</v>
      </c>
    </row>
    <row r="4" spans="2:18" x14ac:dyDescent="0.3">
      <c r="B4" t="s">
        <v>22</v>
      </c>
      <c r="C4" s="10">
        <v>15000</v>
      </c>
      <c r="E4" s="3" t="s">
        <v>0</v>
      </c>
      <c r="F4" s="3"/>
      <c r="G4" s="3"/>
      <c r="H4" s="3"/>
      <c r="I4" s="3"/>
      <c r="J4" s="3"/>
      <c r="L4" t="s">
        <v>11</v>
      </c>
      <c r="M4" s="19">
        <f>-(C5-C8)</f>
        <v>-100000</v>
      </c>
      <c r="N4" s="19">
        <f>F13</f>
        <v>12000</v>
      </c>
      <c r="O4" s="19">
        <f t="shared" ref="O4:Q4" si="0">G13</f>
        <v>12000</v>
      </c>
      <c r="P4" s="19">
        <f t="shared" si="0"/>
        <v>12000</v>
      </c>
      <c r="Q4" s="19">
        <f t="shared" si="0"/>
        <v>12000</v>
      </c>
      <c r="R4" s="19">
        <f>J13+J19</f>
        <v>112000</v>
      </c>
    </row>
    <row r="5" spans="2:18" x14ac:dyDescent="0.3">
      <c r="B5" t="s">
        <v>23</v>
      </c>
      <c r="C5" s="10">
        <f>SUM(C3:C4)</f>
        <v>100000</v>
      </c>
      <c r="E5" t="s">
        <v>7</v>
      </c>
      <c r="F5" s="13">
        <f>C12</f>
        <v>12000</v>
      </c>
      <c r="G5" s="2">
        <f>F5</f>
        <v>12000</v>
      </c>
      <c r="H5" s="2">
        <f t="shared" ref="H5:J5" si="1">G5</f>
        <v>12000</v>
      </c>
      <c r="I5" s="2">
        <f t="shared" si="1"/>
        <v>12000</v>
      </c>
      <c r="J5" s="2">
        <f t="shared" si="1"/>
        <v>12000</v>
      </c>
      <c r="L5" t="s">
        <v>37</v>
      </c>
      <c r="M5" s="20">
        <f>IRR(M4:R4)</f>
        <v>0.11999999999999988</v>
      </c>
    </row>
    <row r="6" spans="2:18" x14ac:dyDescent="0.3">
      <c r="B6" s="3" t="s">
        <v>24</v>
      </c>
      <c r="C6" s="15"/>
      <c r="E6" s="5" t="s">
        <v>19</v>
      </c>
      <c r="F6" s="14">
        <f>-C8*C9</f>
        <v>0</v>
      </c>
      <c r="G6" s="6">
        <f>F6</f>
        <v>0</v>
      </c>
      <c r="H6" s="6">
        <f t="shared" ref="H6:J6" si="2">G6</f>
        <v>0</v>
      </c>
      <c r="I6" s="6">
        <f t="shared" si="2"/>
        <v>0</v>
      </c>
      <c r="J6" s="6">
        <f t="shared" si="2"/>
        <v>0</v>
      </c>
      <c r="L6" t="s">
        <v>18</v>
      </c>
      <c r="M6" s="19">
        <f>M4</f>
        <v>-100000</v>
      </c>
      <c r="N6" s="19">
        <f>F15</f>
        <v>10139.682539682539</v>
      </c>
      <c r="O6" s="19">
        <f t="shared" ref="O6:Q6" si="3">G15</f>
        <v>10139.682539682539</v>
      </c>
      <c r="P6" s="19">
        <f t="shared" si="3"/>
        <v>10139.682539682539</v>
      </c>
      <c r="Q6" s="19">
        <f t="shared" si="3"/>
        <v>10139.682539682539</v>
      </c>
      <c r="R6" s="19">
        <f>J15+J27</f>
        <v>107441.26984126985</v>
      </c>
    </row>
    <row r="7" spans="2:18" ht="15" thickBot="1" x14ac:dyDescent="0.35">
      <c r="B7" t="s">
        <v>39</v>
      </c>
      <c r="C7" s="21">
        <v>0</v>
      </c>
      <c r="E7" s="7" t="s">
        <v>0</v>
      </c>
      <c r="F7" s="8">
        <f>SUM(F5:F6)</f>
        <v>12000</v>
      </c>
      <c r="G7" s="8">
        <f t="shared" ref="G7:J7" si="4">SUM(G5:G6)</f>
        <v>12000</v>
      </c>
      <c r="H7" s="8">
        <f t="shared" si="4"/>
        <v>12000</v>
      </c>
      <c r="I7" s="8">
        <f t="shared" si="4"/>
        <v>12000</v>
      </c>
      <c r="J7" s="8">
        <f t="shared" si="4"/>
        <v>12000</v>
      </c>
      <c r="L7" t="s">
        <v>38</v>
      </c>
      <c r="M7" s="20">
        <f>IRR(M6:R6)</f>
        <v>9.6949970367720573E-2</v>
      </c>
    </row>
    <row r="8" spans="2:18" x14ac:dyDescent="0.3">
      <c r="B8" t="s">
        <v>25</v>
      </c>
      <c r="C8" s="22">
        <f>C7*C5</f>
        <v>0</v>
      </c>
      <c r="E8" s="3" t="s">
        <v>2</v>
      </c>
      <c r="F8" s="4"/>
      <c r="G8" s="4"/>
      <c r="H8" s="4"/>
      <c r="I8" s="4"/>
      <c r="J8" s="4"/>
    </row>
    <row r="9" spans="2:18" x14ac:dyDescent="0.3">
      <c r="B9" t="s">
        <v>26</v>
      </c>
      <c r="C9" s="11">
        <v>0.1</v>
      </c>
      <c r="E9" s="5" t="s">
        <v>3</v>
      </c>
      <c r="F9" s="6">
        <f>-C3/C14</f>
        <v>-2698.4126984126983</v>
      </c>
      <c r="G9" s="6">
        <f>F9</f>
        <v>-2698.4126984126983</v>
      </c>
      <c r="H9" s="6">
        <f t="shared" ref="H9:J9" si="5">G9</f>
        <v>-2698.4126984126983</v>
      </c>
      <c r="I9" s="6">
        <f t="shared" si="5"/>
        <v>-2698.4126984126983</v>
      </c>
      <c r="J9" s="6">
        <f t="shared" si="5"/>
        <v>-2698.4126984126983</v>
      </c>
    </row>
    <row r="10" spans="2:18" ht="15" thickBot="1" x14ac:dyDescent="0.35">
      <c r="B10" t="s">
        <v>27</v>
      </c>
      <c r="C10" s="12" t="s">
        <v>28</v>
      </c>
      <c r="E10" s="7" t="s">
        <v>2</v>
      </c>
      <c r="F10" s="8">
        <f>SUM(F7:F9)</f>
        <v>9301.5873015873021</v>
      </c>
      <c r="G10" s="8">
        <f t="shared" ref="G10:J10" si="6">SUM(G7:G9)</f>
        <v>9301.5873015873021</v>
      </c>
      <c r="H10" s="8">
        <f t="shared" si="6"/>
        <v>9301.5873015873021</v>
      </c>
      <c r="I10" s="8">
        <f t="shared" si="6"/>
        <v>9301.5873015873021</v>
      </c>
      <c r="J10" s="8">
        <f t="shared" si="6"/>
        <v>9301.5873015873021</v>
      </c>
      <c r="L10" s="24" t="str">
        <f>B7</f>
        <v>Loan-to-Equity</v>
      </c>
      <c r="M10" t="str">
        <f>L5</f>
        <v>BT-IRR</v>
      </c>
      <c r="N10" t="str">
        <f>L7</f>
        <v>AT-IRR</v>
      </c>
    </row>
    <row r="11" spans="2:18" ht="15" thickBot="1" x14ac:dyDescent="0.35">
      <c r="B11" s="3" t="s">
        <v>29</v>
      </c>
      <c r="C11" s="16"/>
      <c r="E11" s="5" t="s">
        <v>4</v>
      </c>
      <c r="F11" s="17">
        <f>F10*$C$13</f>
        <v>1860.3174603174605</v>
      </c>
      <c r="G11" s="17">
        <f t="shared" ref="G11:J11" si="7">G10*$C$13</f>
        <v>1860.3174603174605</v>
      </c>
      <c r="H11" s="17">
        <f t="shared" si="7"/>
        <v>1860.3174603174605</v>
      </c>
      <c r="I11" s="17">
        <f t="shared" si="7"/>
        <v>1860.3174603174605</v>
      </c>
      <c r="J11" s="17">
        <f t="shared" si="7"/>
        <v>1860.3174603174605</v>
      </c>
      <c r="L11" s="25">
        <f>C7</f>
        <v>0</v>
      </c>
      <c r="M11" s="23">
        <f>M5</f>
        <v>0.11999999999999988</v>
      </c>
      <c r="N11" s="23">
        <f>M7</f>
        <v>9.6949970367720573E-2</v>
      </c>
    </row>
    <row r="12" spans="2:18" x14ac:dyDescent="0.3">
      <c r="B12" t="s">
        <v>1</v>
      </c>
      <c r="C12" s="10">
        <v>12000</v>
      </c>
      <c r="E12" s="3" t="s">
        <v>5</v>
      </c>
      <c r="F12" s="4"/>
      <c r="G12" s="4"/>
      <c r="H12" s="4"/>
      <c r="I12" s="4"/>
      <c r="J12" s="4"/>
      <c r="L12" s="26">
        <v>0.2</v>
      </c>
      <c r="M12" s="27">
        <f t="dataTable" ref="M12:N24" dt2D="0" dtr="0" r1="C7"/>
        <v>0.125</v>
      </c>
      <c r="N12" s="27">
        <v>0.10123467950353349</v>
      </c>
    </row>
    <row r="13" spans="2:18" x14ac:dyDescent="0.3">
      <c r="B13" t="s">
        <v>30</v>
      </c>
      <c r="C13" s="11">
        <v>0.2</v>
      </c>
      <c r="E13" t="s">
        <v>8</v>
      </c>
      <c r="F13" s="2">
        <f>F7</f>
        <v>12000</v>
      </c>
      <c r="G13" s="2">
        <f>G7</f>
        <v>12000</v>
      </c>
      <c r="H13" s="2">
        <f>H7</f>
        <v>12000</v>
      </c>
      <c r="I13" s="2">
        <f>I7</f>
        <v>12000</v>
      </c>
      <c r="J13" s="2">
        <f>J7</f>
        <v>12000</v>
      </c>
      <c r="L13" s="26">
        <f>L12+5%</f>
        <v>0.25</v>
      </c>
      <c r="M13" s="27">
        <v>0.12666666666666671</v>
      </c>
      <c r="N13" s="27">
        <v>0.10266706180508955</v>
      </c>
    </row>
    <row r="14" spans="2:18" x14ac:dyDescent="0.3">
      <c r="B14" t="s">
        <v>44</v>
      </c>
      <c r="C14" s="12">
        <v>31.5</v>
      </c>
      <c r="E14" t="s">
        <v>6</v>
      </c>
      <c r="F14" s="2">
        <f>-F11</f>
        <v>-1860.3174603174605</v>
      </c>
      <c r="G14" s="2">
        <f t="shared" ref="G14:J14" si="8">-G11</f>
        <v>-1860.3174603174605</v>
      </c>
      <c r="H14" s="2">
        <f t="shared" si="8"/>
        <v>-1860.3174603174605</v>
      </c>
      <c r="I14" s="2">
        <f t="shared" si="8"/>
        <v>-1860.3174603174605</v>
      </c>
      <c r="J14" s="2">
        <f t="shared" si="8"/>
        <v>-1860.3174603174605</v>
      </c>
      <c r="L14" s="26">
        <f t="shared" ref="L14:L24" si="9">L13+5%</f>
        <v>0.3</v>
      </c>
      <c r="M14" s="27">
        <v>0.12857142857142878</v>
      </c>
      <c r="N14" s="27">
        <v>0.10430659808411535</v>
      </c>
    </row>
    <row r="15" spans="2:18" ht="15" thickBot="1" x14ac:dyDescent="0.35">
      <c r="B15" t="s">
        <v>31</v>
      </c>
      <c r="C15" s="10">
        <v>100000</v>
      </c>
      <c r="E15" s="7" t="s">
        <v>9</v>
      </c>
      <c r="F15" s="8">
        <f>SUM(F13:F14)</f>
        <v>10139.682539682539</v>
      </c>
      <c r="G15" s="8">
        <f t="shared" ref="G15:J15" si="10">SUM(G13:G14)</f>
        <v>10139.682539682539</v>
      </c>
      <c r="H15" s="8">
        <f t="shared" si="10"/>
        <v>10139.682539682539</v>
      </c>
      <c r="I15" s="8">
        <f t="shared" si="10"/>
        <v>10139.682539682539</v>
      </c>
      <c r="J15" s="8">
        <f t="shared" si="10"/>
        <v>10139.682539682539</v>
      </c>
      <c r="L15" s="26">
        <f t="shared" si="9"/>
        <v>0.35</v>
      </c>
      <c r="M15" s="27">
        <v>0.13076923076923075</v>
      </c>
      <c r="N15" s="27">
        <v>0.10620171197671979</v>
      </c>
    </row>
    <row r="16" spans="2:18" ht="15" thickBot="1" x14ac:dyDescent="0.35">
      <c r="B16" t="s">
        <v>32</v>
      </c>
      <c r="C16" s="12" t="s">
        <v>33</v>
      </c>
      <c r="E16" s="18" t="s">
        <v>35</v>
      </c>
      <c r="F16" s="18"/>
      <c r="G16" s="18"/>
      <c r="H16" s="18"/>
      <c r="I16" s="18"/>
      <c r="J16" s="18"/>
      <c r="L16" s="26">
        <f t="shared" si="9"/>
        <v>0.39999999999999997</v>
      </c>
      <c r="M16" s="27">
        <v>0.1333333333333333</v>
      </c>
      <c r="N16" s="27">
        <v>0.10841718801815303</v>
      </c>
    </row>
    <row r="17" spans="3:14" x14ac:dyDescent="0.3">
      <c r="E17" t="s">
        <v>10</v>
      </c>
      <c r="F17" s="2"/>
      <c r="G17" s="2"/>
      <c r="H17" s="2"/>
      <c r="I17" s="2"/>
      <c r="J17" s="2">
        <f>C15</f>
        <v>100000</v>
      </c>
      <c r="L17" s="26">
        <f t="shared" si="9"/>
        <v>0.44999999999999996</v>
      </c>
      <c r="M17" s="27">
        <v>0.13636363636363646</v>
      </c>
      <c r="N17" s="27">
        <v>0.11104171522644224</v>
      </c>
    </row>
    <row r="18" spans="3:14" x14ac:dyDescent="0.3">
      <c r="C18" s="9"/>
      <c r="E18" t="s">
        <v>36</v>
      </c>
      <c r="F18" s="2"/>
      <c r="G18" s="2"/>
      <c r="H18" s="2"/>
      <c r="I18" s="2"/>
      <c r="J18" s="2">
        <f>-C8</f>
        <v>0</v>
      </c>
      <c r="L18" s="26">
        <f t="shared" si="9"/>
        <v>0.49999999999999994</v>
      </c>
      <c r="M18" s="27">
        <v>0.1399999999999999</v>
      </c>
      <c r="N18" s="27">
        <v>0.11420002573369104</v>
      </c>
    </row>
    <row r="19" spans="3:14" ht="15" thickBot="1" x14ac:dyDescent="0.35">
      <c r="E19" t="s">
        <v>11</v>
      </c>
      <c r="F19" s="2"/>
      <c r="G19" s="2"/>
      <c r="H19" s="2"/>
      <c r="I19" s="2"/>
      <c r="J19" s="8">
        <f>SUM(J17:J18)</f>
        <v>100000</v>
      </c>
      <c r="L19" s="26">
        <f t="shared" si="9"/>
        <v>0.54999999999999993</v>
      </c>
      <c r="M19" s="27">
        <v>0.14444444444444371</v>
      </c>
      <c r="N19" s="27">
        <v>0.11807326034322485</v>
      </c>
    </row>
    <row r="20" spans="3:14" x14ac:dyDescent="0.3">
      <c r="E20" t="s">
        <v>12</v>
      </c>
      <c r="F20" s="2"/>
      <c r="G20" s="2"/>
      <c r="H20" s="2"/>
      <c r="I20" s="2"/>
      <c r="J20" s="2"/>
      <c r="L20" s="26">
        <f t="shared" si="9"/>
        <v>0.6</v>
      </c>
      <c r="M20" s="27">
        <v>0.14999999999999813</v>
      </c>
      <c r="N20" s="27">
        <v>0.12293488788216811</v>
      </c>
    </row>
    <row r="21" spans="3:14" x14ac:dyDescent="0.3">
      <c r="E21" t="s">
        <v>10</v>
      </c>
      <c r="F21" s="2"/>
      <c r="G21" s="2"/>
      <c r="H21" s="2"/>
      <c r="I21" s="2">
        <f>J17</f>
        <v>100000</v>
      </c>
      <c r="J21" s="2"/>
      <c r="L21" s="26">
        <f t="shared" si="9"/>
        <v>0.65</v>
      </c>
      <c r="M21" s="27">
        <v>0.15714285714284726</v>
      </c>
      <c r="N21" s="27">
        <v>0.12921804001050119</v>
      </c>
    </row>
    <row r="22" spans="3:14" x14ac:dyDescent="0.3">
      <c r="E22" t="s">
        <v>13</v>
      </c>
      <c r="F22" s="2"/>
      <c r="G22" s="2"/>
      <c r="H22" s="2">
        <f>-C5</f>
        <v>-100000</v>
      </c>
      <c r="I22" s="2"/>
      <c r="J22" s="2"/>
      <c r="L22" s="26">
        <f t="shared" si="9"/>
        <v>0.70000000000000007</v>
      </c>
      <c r="M22" s="27">
        <v>0.16666666666660634</v>
      </c>
      <c r="N22" s="27">
        <v>0.13765172886339605</v>
      </c>
    </row>
    <row r="23" spans="3:14" x14ac:dyDescent="0.3">
      <c r="E23" t="s">
        <v>14</v>
      </c>
      <c r="F23" s="2"/>
      <c r="G23" s="2"/>
      <c r="H23" s="2">
        <f>-SUM(F9:J9)</f>
        <v>13492.063492063491</v>
      </c>
      <c r="I23" s="2"/>
      <c r="J23" s="2"/>
      <c r="L23" s="26">
        <f t="shared" si="9"/>
        <v>0.75000000000000011</v>
      </c>
      <c r="M23" s="27">
        <v>0.17999999999951055</v>
      </c>
      <c r="N23" s="27">
        <v>0.14956483794289999</v>
      </c>
    </row>
    <row r="24" spans="3:14" x14ac:dyDescent="0.3">
      <c r="E24" t="s">
        <v>15</v>
      </c>
      <c r="F24" s="2"/>
      <c r="G24" s="2"/>
      <c r="H24" s="2"/>
      <c r="I24" s="2">
        <f>H22+H23</f>
        <v>-86507.936507936509</v>
      </c>
      <c r="J24" s="2"/>
      <c r="L24" s="26">
        <f t="shared" si="9"/>
        <v>0.80000000000000016</v>
      </c>
      <c r="M24" s="27">
        <v>0.19999999999999996</v>
      </c>
      <c r="N24" s="27">
        <v>0.16766021624089622</v>
      </c>
    </row>
    <row r="25" spans="3:14" ht="15" thickBot="1" x14ac:dyDescent="0.35">
      <c r="E25" t="s">
        <v>16</v>
      </c>
      <c r="F25" s="2"/>
      <c r="G25" s="2"/>
      <c r="H25" s="2"/>
      <c r="I25" s="8">
        <f>SUM(I21:I24)</f>
        <v>13492.063492063491</v>
      </c>
      <c r="J25" s="2"/>
    </row>
    <row r="26" spans="3:14" x14ac:dyDescent="0.3">
      <c r="E26" t="s">
        <v>17</v>
      </c>
      <c r="F26" s="2"/>
      <c r="G26" s="2"/>
      <c r="H26" s="2"/>
      <c r="I26" s="2"/>
      <c r="J26" s="2">
        <f>I25*-C13</f>
        <v>-2698.4126984126983</v>
      </c>
    </row>
    <row r="27" spans="3:14" ht="15" thickBot="1" x14ac:dyDescent="0.35">
      <c r="E27" s="7" t="s">
        <v>18</v>
      </c>
      <c r="F27" s="8"/>
      <c r="G27" s="8"/>
      <c r="H27" s="8"/>
      <c r="I27" s="8"/>
      <c r="J27" s="8">
        <f>SUM(J19:J26)</f>
        <v>97301.587301587308</v>
      </c>
    </row>
  </sheetData>
  <sheetProtection sheet="1" objects="1" scenarios="1"/>
  <mergeCells count="1">
    <mergeCell ref="E2:J2"/>
  </mergeCells>
  <conditionalFormatting sqref="A2:E2 K2:O2 B2:C6 A3:A17 D5:O5 D6:R6 B7 D7:O8 B8:C16 E9:J10 D9:D17 K9:O29 E16 E17:J27 A18:D29 A30:O36 E12:J15 E11 D3:R4">
    <cfRule type="expression" dxfId="7" priority="2">
      <formula>_xlfn.ISFORMULA(A2)</formula>
    </cfRule>
  </conditionalFormatting>
  <conditionalFormatting sqref="F11:J11">
    <cfRule type="expression" dxfId="0" priority="1">
      <formula>_xlfn.ISFORMULA(F11)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B5F73-E99A-4044-9114-C5433FF61F46}">
  <dimension ref="B1:R27"/>
  <sheetViews>
    <sheetView showGridLines="0" topLeftCell="B1" workbookViewId="0">
      <selection activeCell="T25" sqref="T25"/>
    </sheetView>
  </sheetViews>
  <sheetFormatPr defaultRowHeight="14.4" x14ac:dyDescent="0.3"/>
  <cols>
    <col min="1" max="1" width="4" customWidth="1"/>
    <col min="2" max="2" width="18.77734375" customWidth="1"/>
    <col min="3" max="3" width="11.21875" bestFit="1" customWidth="1"/>
    <col min="4" max="4" width="3.6640625" customWidth="1"/>
    <col min="5" max="5" width="26.88671875" customWidth="1"/>
    <col min="6" max="7" width="11.109375" bestFit="1" customWidth="1"/>
    <col min="8" max="10" width="12.109375" bestFit="1" customWidth="1"/>
    <col min="11" max="11" width="4.77734375" customWidth="1"/>
    <col min="12" max="12" width="14.33203125" bestFit="1" customWidth="1"/>
    <col min="13" max="13" width="10.109375" bestFit="1" customWidth="1"/>
    <col min="2003" max="2003" width="2.5546875" customWidth="1"/>
  </cols>
  <sheetData>
    <row r="1" spans="2:18" ht="6.6" customHeight="1" x14ac:dyDescent="0.3"/>
    <row r="2" spans="2:18" ht="15" thickBot="1" x14ac:dyDescent="0.35">
      <c r="B2" s="3" t="s">
        <v>20</v>
      </c>
      <c r="C2" s="3"/>
      <c r="E2" s="36" t="s">
        <v>42</v>
      </c>
      <c r="F2" s="36"/>
      <c r="G2" s="36"/>
      <c r="H2" s="36"/>
      <c r="I2" s="36"/>
      <c r="J2" s="36"/>
    </row>
    <row r="3" spans="2:18" ht="15" thickBot="1" x14ac:dyDescent="0.35">
      <c r="B3" t="s">
        <v>21</v>
      </c>
      <c r="C3" s="10">
        <v>85000</v>
      </c>
      <c r="E3" s="1" t="s">
        <v>34</v>
      </c>
      <c r="F3" s="1" cm="1">
        <f t="array" ref="F3:J3">_xlfn.SEQUENCE(1,5)</f>
        <v>1</v>
      </c>
      <c r="G3" s="1">
        <v>2</v>
      </c>
      <c r="H3" s="1">
        <v>3</v>
      </c>
      <c r="I3" s="1">
        <v>4</v>
      </c>
      <c r="J3" s="1">
        <v>5</v>
      </c>
    </row>
    <row r="4" spans="2:18" x14ac:dyDescent="0.3">
      <c r="B4" t="s">
        <v>22</v>
      </c>
      <c r="C4" s="10">
        <v>15000</v>
      </c>
      <c r="E4" s="3" t="s">
        <v>0</v>
      </c>
      <c r="F4" s="3"/>
      <c r="G4" s="3"/>
      <c r="H4" s="3"/>
      <c r="I4" s="3"/>
      <c r="J4" s="3"/>
      <c r="L4" t="s">
        <v>11</v>
      </c>
      <c r="M4" s="19">
        <f>-(C5-C8)</f>
        <v>-20000</v>
      </c>
      <c r="N4" s="19">
        <f>F13</f>
        <v>799.99999999999818</v>
      </c>
      <c r="O4" s="19">
        <f t="shared" ref="O4:Q4" si="0">G13</f>
        <v>799.99999999999818</v>
      </c>
      <c r="P4" s="19">
        <f t="shared" si="0"/>
        <v>799.99999999999818</v>
      </c>
      <c r="Q4" s="19">
        <f t="shared" si="0"/>
        <v>799.99999999999818</v>
      </c>
      <c r="R4" s="19">
        <f>J13+J19</f>
        <v>20800</v>
      </c>
    </row>
    <row r="5" spans="2:18" x14ac:dyDescent="0.3">
      <c r="B5" t="s">
        <v>23</v>
      </c>
      <c r="C5" s="10">
        <f>SUM(C3:C4)</f>
        <v>100000</v>
      </c>
      <c r="E5" t="s">
        <v>7</v>
      </c>
      <c r="F5" s="13">
        <f>C12</f>
        <v>12000</v>
      </c>
      <c r="G5" s="2">
        <f>F5</f>
        <v>12000</v>
      </c>
      <c r="H5" s="2">
        <f t="shared" ref="H5:J6" si="1">G5</f>
        <v>12000</v>
      </c>
      <c r="I5" s="2">
        <f t="shared" si="1"/>
        <v>12000</v>
      </c>
      <c r="J5" s="2">
        <f t="shared" si="1"/>
        <v>12000</v>
      </c>
      <c r="L5" t="s">
        <v>37</v>
      </c>
      <c r="M5" s="20">
        <f>IRR(M4:R4)</f>
        <v>4.0000000000225411E-2</v>
      </c>
    </row>
    <row r="6" spans="2:18" x14ac:dyDescent="0.3">
      <c r="B6" s="3" t="s">
        <v>24</v>
      </c>
      <c r="C6" s="15"/>
      <c r="E6" s="5" t="s">
        <v>19</v>
      </c>
      <c r="F6" s="14">
        <f>-C8*C9</f>
        <v>-11200.000000000002</v>
      </c>
      <c r="G6" s="6">
        <f>F6</f>
        <v>-11200.000000000002</v>
      </c>
      <c r="H6" s="6">
        <f t="shared" si="1"/>
        <v>-11200.000000000002</v>
      </c>
      <c r="I6" s="6">
        <f t="shared" si="1"/>
        <v>-11200.000000000002</v>
      </c>
      <c r="J6" s="6">
        <f t="shared" si="1"/>
        <v>-11200.000000000002</v>
      </c>
      <c r="L6" t="s">
        <v>18</v>
      </c>
      <c r="M6" s="19">
        <f>M4</f>
        <v>-20000</v>
      </c>
      <c r="N6" s="19">
        <f>F15</f>
        <v>1331.5555555555543</v>
      </c>
      <c r="O6" s="19">
        <f t="shared" ref="O6:Q6" si="2">G15</f>
        <v>1331.5555555555543</v>
      </c>
      <c r="P6" s="19">
        <f t="shared" si="2"/>
        <v>1331.5555555555543</v>
      </c>
      <c r="Q6" s="19">
        <f t="shared" si="2"/>
        <v>1331.5555555555543</v>
      </c>
      <c r="R6" s="19">
        <f>J15+J27</f>
        <v>17553.777777777777</v>
      </c>
    </row>
    <row r="7" spans="2:18" ht="15" thickBot="1" x14ac:dyDescent="0.35">
      <c r="B7" t="s">
        <v>39</v>
      </c>
      <c r="C7" s="21">
        <v>0.8</v>
      </c>
      <c r="E7" s="7" t="s">
        <v>0</v>
      </c>
      <c r="F7" s="8">
        <f>SUM(F5:F6)</f>
        <v>799.99999999999818</v>
      </c>
      <c r="G7" s="8">
        <f t="shared" ref="G7:J7" si="3">SUM(G5:G6)</f>
        <v>799.99999999999818</v>
      </c>
      <c r="H7" s="8">
        <f t="shared" si="3"/>
        <v>799.99999999999818</v>
      </c>
      <c r="I7" s="8">
        <f t="shared" si="3"/>
        <v>799.99999999999818</v>
      </c>
      <c r="J7" s="8">
        <f t="shared" si="3"/>
        <v>799.99999999999818</v>
      </c>
      <c r="L7" t="s">
        <v>38</v>
      </c>
      <c r="M7" s="20">
        <f>IRR(M6:R6)</f>
        <v>3.1076149649227114E-2</v>
      </c>
    </row>
    <row r="8" spans="2:18" x14ac:dyDescent="0.3">
      <c r="B8" t="s">
        <v>25</v>
      </c>
      <c r="C8" s="22">
        <f>C7*C5</f>
        <v>80000</v>
      </c>
      <c r="E8" s="3" t="s">
        <v>2</v>
      </c>
      <c r="F8" s="4"/>
      <c r="G8" s="4"/>
      <c r="H8" s="4"/>
      <c r="I8" s="4"/>
      <c r="J8" s="4"/>
    </row>
    <row r="9" spans="2:18" x14ac:dyDescent="0.3">
      <c r="B9" t="s">
        <v>26</v>
      </c>
      <c r="C9" s="28">
        <v>0.14000000000000001</v>
      </c>
      <c r="E9" s="5" t="s">
        <v>3</v>
      </c>
      <c r="F9" s="6">
        <f>-C3/C14</f>
        <v>-2698.4126984126983</v>
      </c>
      <c r="G9" s="6">
        <f>F9</f>
        <v>-2698.4126984126983</v>
      </c>
      <c r="H9" s="6">
        <f t="shared" ref="H9:J9" si="4">G9</f>
        <v>-2698.4126984126983</v>
      </c>
      <c r="I9" s="6">
        <f t="shared" si="4"/>
        <v>-2698.4126984126983</v>
      </c>
      <c r="J9" s="6">
        <f t="shared" si="4"/>
        <v>-2698.4126984126983</v>
      </c>
    </row>
    <row r="10" spans="2:18" ht="15" thickBot="1" x14ac:dyDescent="0.35">
      <c r="B10" t="s">
        <v>27</v>
      </c>
      <c r="C10" s="12" t="s">
        <v>28</v>
      </c>
      <c r="E10" s="7" t="s">
        <v>2</v>
      </c>
      <c r="F10" s="8">
        <f>SUM(F7:F9)</f>
        <v>-1898.4126984127001</v>
      </c>
      <c r="G10" s="8">
        <f t="shared" ref="G10:J10" si="5">SUM(G7:G9)</f>
        <v>-1898.4126984127001</v>
      </c>
      <c r="H10" s="8">
        <f t="shared" si="5"/>
        <v>-1898.4126984127001</v>
      </c>
      <c r="I10" s="8">
        <f t="shared" si="5"/>
        <v>-1898.4126984127001</v>
      </c>
      <c r="J10" s="8">
        <f t="shared" si="5"/>
        <v>-1898.4126984127001</v>
      </c>
      <c r="L10" s="24" t="str">
        <f>B7</f>
        <v>Loan-to-Equity</v>
      </c>
      <c r="M10" t="str">
        <f>L5</f>
        <v>BT-IRR</v>
      </c>
      <c r="N10" t="str">
        <f>L7</f>
        <v>AT-IRR</v>
      </c>
    </row>
    <row r="11" spans="2:18" ht="15" thickBot="1" x14ac:dyDescent="0.35">
      <c r="B11" s="3" t="s">
        <v>29</v>
      </c>
      <c r="C11" s="16"/>
      <c r="E11" s="5" t="s">
        <v>4</v>
      </c>
      <c r="F11" s="17">
        <f>F10*$C$13</f>
        <v>-531.55555555555611</v>
      </c>
      <c r="G11" s="17">
        <f t="shared" ref="G11:J11" si="6">G10*$C$13</f>
        <v>-531.55555555555611</v>
      </c>
      <c r="H11" s="17">
        <f t="shared" si="6"/>
        <v>-531.55555555555611</v>
      </c>
      <c r="I11" s="17">
        <f t="shared" si="6"/>
        <v>-531.55555555555611</v>
      </c>
      <c r="J11" s="17">
        <f t="shared" si="6"/>
        <v>-531.55555555555611</v>
      </c>
      <c r="L11" s="25">
        <f>C7</f>
        <v>0.8</v>
      </c>
      <c r="M11" s="23">
        <f>M5</f>
        <v>4.0000000000225411E-2</v>
      </c>
      <c r="N11" s="23">
        <f>M7</f>
        <v>3.1076149649227114E-2</v>
      </c>
    </row>
    <row r="12" spans="2:18" x14ac:dyDescent="0.3">
      <c r="B12" t="s">
        <v>1</v>
      </c>
      <c r="C12" s="10">
        <v>12000</v>
      </c>
      <c r="E12" s="3" t="s">
        <v>5</v>
      </c>
      <c r="F12" s="4"/>
      <c r="G12" s="4"/>
      <c r="H12" s="4"/>
      <c r="I12" s="4"/>
      <c r="J12" s="4"/>
      <c r="L12" s="26">
        <v>0.25</v>
      </c>
      <c r="M12" s="27">
        <f t="dataTable" ref="M12:N24" dt2D="0" dtr="0" r1="C7"/>
        <v>0.11333333333329065</v>
      </c>
      <c r="N12" s="27">
        <v>8.314173294431737E-2</v>
      </c>
    </row>
    <row r="13" spans="2:18" x14ac:dyDescent="0.3">
      <c r="B13" t="s">
        <v>30</v>
      </c>
      <c r="C13" s="11">
        <v>0.28000000000000003</v>
      </c>
      <c r="E13" t="s">
        <v>8</v>
      </c>
      <c r="F13" s="2">
        <f>F7</f>
        <v>799.99999999999818</v>
      </c>
      <c r="G13" s="2">
        <f>G7</f>
        <v>799.99999999999818</v>
      </c>
      <c r="H13" s="2">
        <f>H7</f>
        <v>799.99999999999818</v>
      </c>
      <c r="I13" s="2">
        <f>I7</f>
        <v>799.99999999999818</v>
      </c>
      <c r="J13" s="2">
        <f>J7</f>
        <v>799.99999999999818</v>
      </c>
      <c r="L13" s="26">
        <f>L12+5%</f>
        <v>0.3</v>
      </c>
      <c r="M13" s="27">
        <v>0.11142857142855767</v>
      </c>
      <c r="N13" s="27">
        <v>8.1856982990875071E-2</v>
      </c>
    </row>
    <row r="14" spans="2:18" x14ac:dyDescent="0.3">
      <c r="B14" t="s">
        <v>44</v>
      </c>
      <c r="C14" s="12">
        <v>31.5</v>
      </c>
      <c r="E14" t="s">
        <v>6</v>
      </c>
      <c r="F14" s="2">
        <f>-F11</f>
        <v>531.55555555555611</v>
      </c>
      <c r="G14" s="2">
        <f t="shared" ref="G14:J14" si="7">-G11</f>
        <v>531.55555555555611</v>
      </c>
      <c r="H14" s="2">
        <f t="shared" si="7"/>
        <v>531.55555555555611</v>
      </c>
      <c r="I14" s="2">
        <f t="shared" si="7"/>
        <v>531.55555555555611</v>
      </c>
      <c r="J14" s="2">
        <f t="shared" si="7"/>
        <v>531.55555555555611</v>
      </c>
      <c r="L14" s="26">
        <f t="shared" ref="L14:L24" si="8">L13+5%</f>
        <v>0.35</v>
      </c>
      <c r="M14" s="27">
        <v>0.10923076923076636</v>
      </c>
      <c r="N14" s="27">
        <v>8.0370531422155E-2</v>
      </c>
    </row>
    <row r="15" spans="2:18" ht="15" thickBot="1" x14ac:dyDescent="0.35">
      <c r="B15" t="s">
        <v>31</v>
      </c>
      <c r="C15" s="10">
        <v>100000</v>
      </c>
      <c r="E15" s="7" t="s">
        <v>9</v>
      </c>
      <c r="F15" s="8">
        <f>SUM(F13:F14)</f>
        <v>1331.5555555555543</v>
      </c>
      <c r="G15" s="8">
        <f t="shared" ref="G15:J15" si="9">SUM(G13:G14)</f>
        <v>1331.5555555555543</v>
      </c>
      <c r="H15" s="8">
        <f t="shared" si="9"/>
        <v>1331.5555555555543</v>
      </c>
      <c r="I15" s="8">
        <f t="shared" si="9"/>
        <v>1331.5555555555543</v>
      </c>
      <c r="J15" s="8">
        <f t="shared" si="9"/>
        <v>1331.5555555555543</v>
      </c>
      <c r="L15" s="26">
        <f t="shared" si="8"/>
        <v>0.39999999999999997</v>
      </c>
      <c r="M15" s="27">
        <v>0.10666666666666647</v>
      </c>
      <c r="N15" s="27">
        <v>7.8630806131327002E-2</v>
      </c>
    </row>
    <row r="16" spans="2:18" ht="15" thickBot="1" x14ac:dyDescent="0.35">
      <c r="B16" t="s">
        <v>32</v>
      </c>
      <c r="C16" s="12" t="s">
        <v>33</v>
      </c>
      <c r="E16" s="18" t="s">
        <v>35</v>
      </c>
      <c r="F16" s="18"/>
      <c r="G16" s="18"/>
      <c r="H16" s="18"/>
      <c r="I16" s="18"/>
      <c r="J16" s="18"/>
      <c r="L16" s="26">
        <f t="shared" si="8"/>
        <v>0.44999999999999996</v>
      </c>
      <c r="M16" s="27">
        <v>0.10363636363636375</v>
      </c>
      <c r="N16" s="27">
        <v>7.6567003551683888E-2</v>
      </c>
    </row>
    <row r="17" spans="3:14" x14ac:dyDescent="0.3">
      <c r="E17" t="s">
        <v>10</v>
      </c>
      <c r="F17" s="2"/>
      <c r="G17" s="2"/>
      <c r="H17" s="2"/>
      <c r="I17" s="2"/>
      <c r="J17" s="2">
        <f>C15</f>
        <v>100000</v>
      </c>
      <c r="L17" s="26">
        <f t="shared" si="8"/>
        <v>0.49999999999999994</v>
      </c>
      <c r="M17" s="27">
        <v>0.10000000000000009</v>
      </c>
      <c r="N17" s="27">
        <v>7.4079195193511582E-2</v>
      </c>
    </row>
    <row r="18" spans="3:14" x14ac:dyDescent="0.3">
      <c r="C18" s="9"/>
      <c r="E18" t="s">
        <v>36</v>
      </c>
      <c r="F18" s="2"/>
      <c r="G18" s="2"/>
      <c r="H18" s="2"/>
      <c r="I18" s="2"/>
      <c r="J18" s="2">
        <f>-C8</f>
        <v>-80000</v>
      </c>
      <c r="L18" s="26">
        <f t="shared" si="8"/>
        <v>0.54999999999999993</v>
      </c>
      <c r="M18" s="27">
        <v>9.5555555555555394E-2</v>
      </c>
      <c r="N18" s="27">
        <v>7.1021619709434214E-2</v>
      </c>
    </row>
    <row r="19" spans="3:14" ht="15" thickBot="1" x14ac:dyDescent="0.35">
      <c r="E19" t="s">
        <v>11</v>
      </c>
      <c r="F19" s="2"/>
      <c r="G19" s="2"/>
      <c r="H19" s="2"/>
      <c r="I19" s="2"/>
      <c r="J19" s="8">
        <f>SUM(J17:J18)</f>
        <v>20000</v>
      </c>
      <c r="L19" s="26">
        <f t="shared" si="8"/>
        <v>0.6</v>
      </c>
      <c r="M19" s="27">
        <v>8.9999999999993419E-2</v>
      </c>
      <c r="N19" s="27">
        <v>6.7172966716932958E-2</v>
      </c>
    </row>
    <row r="20" spans="3:14" x14ac:dyDescent="0.3">
      <c r="E20" t="s">
        <v>12</v>
      </c>
      <c r="F20" s="2"/>
      <c r="G20" s="2"/>
      <c r="H20" s="2"/>
      <c r="I20" s="2"/>
      <c r="J20" s="2"/>
      <c r="L20" s="26">
        <f t="shared" si="8"/>
        <v>0.65</v>
      </c>
      <c r="M20" s="27">
        <v>8.2857142856718857E-2</v>
      </c>
      <c r="N20" s="27">
        <v>6.2180052482522674E-2</v>
      </c>
    </row>
    <row r="21" spans="3:14" x14ac:dyDescent="0.3">
      <c r="E21" t="s">
        <v>10</v>
      </c>
      <c r="F21" s="2"/>
      <c r="G21" s="2"/>
      <c r="H21" s="2"/>
      <c r="I21" s="2">
        <f>J17</f>
        <v>100000</v>
      </c>
      <c r="J21" s="2"/>
      <c r="L21" s="26">
        <f t="shared" si="8"/>
        <v>0.70000000000000007</v>
      </c>
      <c r="M21" s="27">
        <v>7.333333333333325E-2</v>
      </c>
      <c r="N21" s="27">
        <v>5.5442140685409758E-2</v>
      </c>
    </row>
    <row r="22" spans="3:14" x14ac:dyDescent="0.3">
      <c r="E22" t="s">
        <v>13</v>
      </c>
      <c r="F22" s="2"/>
      <c r="G22" s="2"/>
      <c r="H22" s="2">
        <f>-C5</f>
        <v>-100000</v>
      </c>
      <c r="I22" s="2"/>
      <c r="J22" s="2"/>
      <c r="L22" s="26">
        <f t="shared" si="8"/>
        <v>0.75000000000000011</v>
      </c>
      <c r="M22" s="27">
        <v>6.0000000000000719E-2</v>
      </c>
      <c r="N22" s="27">
        <v>4.584708448657504E-2</v>
      </c>
    </row>
    <row r="23" spans="3:14" x14ac:dyDescent="0.3">
      <c r="E23" t="s">
        <v>14</v>
      </c>
      <c r="F23" s="2"/>
      <c r="G23" s="2"/>
      <c r="H23" s="2">
        <f>-SUM(F9:J9)</f>
        <v>13492.063492063491</v>
      </c>
      <c r="I23" s="2"/>
      <c r="J23" s="2"/>
      <c r="L23" s="26">
        <f t="shared" si="8"/>
        <v>0.80000000000000016</v>
      </c>
      <c r="M23" s="27">
        <v>4.0000000000225411E-2</v>
      </c>
      <c r="N23" s="27">
        <v>3.1076149649226892E-2</v>
      </c>
    </row>
    <row r="24" spans="3:14" x14ac:dyDescent="0.3">
      <c r="E24" t="s">
        <v>15</v>
      </c>
      <c r="F24" s="2"/>
      <c r="G24" s="2"/>
      <c r="H24" s="2"/>
      <c r="I24" s="2">
        <f>H22+H23</f>
        <v>-86507.936507936509</v>
      </c>
      <c r="J24" s="2"/>
      <c r="L24" s="26">
        <f t="shared" si="8"/>
        <v>0.8500000000000002</v>
      </c>
      <c r="M24" s="27">
        <v>6.6666666666665986E-3</v>
      </c>
      <c r="N24" s="27">
        <v>5.3345470579249099E-3</v>
      </c>
    </row>
    <row r="25" spans="3:14" ht="15" thickBot="1" x14ac:dyDescent="0.35">
      <c r="E25" t="s">
        <v>16</v>
      </c>
      <c r="F25" s="2"/>
      <c r="G25" s="2"/>
      <c r="H25" s="2"/>
      <c r="I25" s="8">
        <f>SUM(I21:I24)</f>
        <v>13492.063492063491</v>
      </c>
      <c r="J25" s="2"/>
    </row>
    <row r="26" spans="3:14" x14ac:dyDescent="0.3">
      <c r="E26" t="s">
        <v>17</v>
      </c>
      <c r="F26" s="2"/>
      <c r="G26" s="2"/>
      <c r="H26" s="2"/>
      <c r="I26" s="2"/>
      <c r="J26" s="2">
        <f>I25*-C13</f>
        <v>-3777.7777777777778</v>
      </c>
    </row>
    <row r="27" spans="3:14" ht="15" thickBot="1" x14ac:dyDescent="0.35">
      <c r="E27" s="7" t="s">
        <v>18</v>
      </c>
      <c r="F27" s="8"/>
      <c r="G27" s="8"/>
      <c r="H27" s="8"/>
      <c r="I27" s="8"/>
      <c r="J27" s="8">
        <f>SUM(J19:J26)</f>
        <v>16222.222222222223</v>
      </c>
    </row>
  </sheetData>
  <sheetProtection sheet="1" objects="1" scenarios="1"/>
  <mergeCells count="1">
    <mergeCell ref="E2:J2"/>
  </mergeCells>
  <conditionalFormatting sqref="A2:E2 K2:O2 D3:O3 B3:C6 A3:A17 D4:R4 D5:O5 D6:R6 B7 D7:O8 B8:C16 E9:J10 D9:D17 K9:O29 E16 E17:J27 A18:D29 A30:O36 E12:J15 E11">
    <cfRule type="expression" dxfId="6" priority="2">
      <formula>_xlfn.ISFORMULA(A2)</formula>
    </cfRule>
  </conditionalFormatting>
  <conditionalFormatting sqref="F11:J11">
    <cfRule type="expression" dxfId="1" priority="1">
      <formula>_xlfn.ISFORMULA(F11)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5A8BD-CE3D-43C0-B831-EB50BDFC3DC3}">
  <dimension ref="B1:X27"/>
  <sheetViews>
    <sheetView showGridLines="0" tabSelected="1" workbookViewId="0">
      <selection activeCell="W7" sqref="W7"/>
    </sheetView>
  </sheetViews>
  <sheetFormatPr defaultRowHeight="14.4" x14ac:dyDescent="0.3"/>
  <cols>
    <col min="1" max="1" width="4" customWidth="1"/>
    <col min="2" max="2" width="18.77734375" customWidth="1"/>
    <col min="3" max="3" width="11.21875" bestFit="1" customWidth="1"/>
    <col min="4" max="4" width="3.6640625" customWidth="1"/>
    <col min="5" max="5" width="26.88671875" customWidth="1"/>
    <col min="6" max="7" width="11.109375" bestFit="1" customWidth="1"/>
    <col min="8" max="10" width="12.109375" bestFit="1" customWidth="1"/>
    <col min="11" max="11" width="4.77734375" customWidth="1"/>
    <col min="12" max="12" width="14.33203125" bestFit="1" customWidth="1"/>
    <col min="13" max="13" width="10.109375" bestFit="1" customWidth="1"/>
    <col min="2000" max="2000" width="2.5546875" customWidth="1"/>
    <col min="2003" max="2003" width="2.5546875" customWidth="1"/>
  </cols>
  <sheetData>
    <row r="1" spans="2:24" ht="6.6" customHeight="1" x14ac:dyDescent="0.3"/>
    <row r="2" spans="2:24" ht="15" thickBot="1" x14ac:dyDescent="0.35">
      <c r="B2" s="3" t="s">
        <v>20</v>
      </c>
      <c r="C2" s="3"/>
      <c r="E2" s="36" t="s">
        <v>42</v>
      </c>
      <c r="F2" s="36"/>
      <c r="G2" s="36"/>
      <c r="H2" s="36"/>
      <c r="I2" s="36"/>
      <c r="J2" s="36"/>
    </row>
    <row r="3" spans="2:24" ht="15" thickBot="1" x14ac:dyDescent="0.35">
      <c r="B3" t="s">
        <v>21</v>
      </c>
      <c r="C3" s="10">
        <v>85000</v>
      </c>
      <c r="E3" s="1" t="s">
        <v>34</v>
      </c>
      <c r="F3" s="1" cm="1">
        <f t="array" ref="F3:J3">_xlfn.SEQUENCE(1,5)</f>
        <v>1</v>
      </c>
      <c r="G3" s="1">
        <v>2</v>
      </c>
      <c r="H3" s="1">
        <v>3</v>
      </c>
      <c r="I3" s="1">
        <v>4</v>
      </c>
      <c r="J3" s="1">
        <v>5</v>
      </c>
    </row>
    <row r="4" spans="2:24" x14ac:dyDescent="0.3">
      <c r="B4" t="s">
        <v>22</v>
      </c>
      <c r="C4" s="10">
        <v>15000</v>
      </c>
      <c r="E4" s="3" t="s">
        <v>0</v>
      </c>
      <c r="F4" s="3"/>
      <c r="G4" s="3"/>
      <c r="H4" s="3"/>
      <c r="I4" s="3"/>
      <c r="J4" s="3"/>
      <c r="L4" t="s">
        <v>11</v>
      </c>
      <c r="M4" s="19">
        <f>-(C5-C8)</f>
        <v>-100000</v>
      </c>
      <c r="N4" s="19">
        <f>F13</f>
        <v>12000</v>
      </c>
      <c r="O4" s="19">
        <f t="shared" ref="O4:Q4" si="0">G13</f>
        <v>12000</v>
      </c>
      <c r="P4" s="19">
        <f t="shared" si="0"/>
        <v>12000</v>
      </c>
      <c r="Q4" s="19">
        <f t="shared" si="0"/>
        <v>12000</v>
      </c>
      <c r="R4" s="19">
        <f>J13+J19</f>
        <v>112000</v>
      </c>
    </row>
    <row r="5" spans="2:24" x14ac:dyDescent="0.3">
      <c r="B5" t="s">
        <v>23</v>
      </c>
      <c r="C5" s="10">
        <f>SUM(C3:C4)</f>
        <v>100000</v>
      </c>
      <c r="E5" t="s">
        <v>7</v>
      </c>
      <c r="F5" s="13">
        <f>C12</f>
        <v>12000</v>
      </c>
      <c r="G5" s="2">
        <f>F5</f>
        <v>12000</v>
      </c>
      <c r="H5" s="2">
        <f t="shared" ref="H5:J6" si="1">G5</f>
        <v>12000</v>
      </c>
      <c r="I5" s="2">
        <f t="shared" si="1"/>
        <v>12000</v>
      </c>
      <c r="J5" s="2">
        <f t="shared" si="1"/>
        <v>12000</v>
      </c>
      <c r="L5" t="s">
        <v>37</v>
      </c>
      <c r="M5" s="20">
        <f>IRR(M4:R4)</f>
        <v>0.11999999999999988</v>
      </c>
    </row>
    <row r="6" spans="2:24" x14ac:dyDescent="0.3">
      <c r="B6" s="3" t="s">
        <v>24</v>
      </c>
      <c r="C6" s="15"/>
      <c r="E6" s="5" t="s">
        <v>19</v>
      </c>
      <c r="F6" s="14">
        <f>-C8*C9</f>
        <v>0</v>
      </c>
      <c r="G6" s="6">
        <f>F6</f>
        <v>0</v>
      </c>
      <c r="H6" s="6">
        <f t="shared" si="1"/>
        <v>0</v>
      </c>
      <c r="I6" s="6">
        <f t="shared" si="1"/>
        <v>0</v>
      </c>
      <c r="J6" s="6">
        <f t="shared" si="1"/>
        <v>0</v>
      </c>
      <c r="L6" t="s">
        <v>18</v>
      </c>
      <c r="M6" s="19">
        <f>M4</f>
        <v>-100000</v>
      </c>
      <c r="N6" s="19">
        <f>F15</f>
        <v>10139.682539682539</v>
      </c>
      <c r="O6" s="19">
        <f t="shared" ref="O6:Q6" si="2">G15</f>
        <v>10139.682539682539</v>
      </c>
      <c r="P6" s="19">
        <f t="shared" si="2"/>
        <v>10139.682539682539</v>
      </c>
      <c r="Q6" s="19">
        <f t="shared" si="2"/>
        <v>10139.682539682539</v>
      </c>
      <c r="R6" s="19">
        <f>J15+J27</f>
        <v>107441.26984126985</v>
      </c>
    </row>
    <row r="7" spans="2:24" ht="15" thickBot="1" x14ac:dyDescent="0.35">
      <c r="B7" t="s">
        <v>39</v>
      </c>
      <c r="C7" s="21">
        <v>0</v>
      </c>
      <c r="E7" s="7" t="s">
        <v>0</v>
      </c>
      <c r="F7" s="8">
        <f>SUM(F5:F6)</f>
        <v>12000</v>
      </c>
      <c r="G7" s="8">
        <f t="shared" ref="G7:J7" si="3">SUM(G5:G6)</f>
        <v>12000</v>
      </c>
      <c r="H7" s="8">
        <f t="shared" si="3"/>
        <v>12000</v>
      </c>
      <c r="I7" s="8">
        <f t="shared" si="3"/>
        <v>12000</v>
      </c>
      <c r="J7" s="8">
        <f t="shared" si="3"/>
        <v>12000</v>
      </c>
      <c r="L7" t="s">
        <v>38</v>
      </c>
      <c r="M7" s="20">
        <f>IRR(M6:R6)</f>
        <v>9.6949970367720573E-2</v>
      </c>
    </row>
    <row r="8" spans="2:24" x14ac:dyDescent="0.3">
      <c r="B8" t="s">
        <v>25</v>
      </c>
      <c r="C8" s="22">
        <f>C7*C5</f>
        <v>0</v>
      </c>
      <c r="E8" s="3" t="s">
        <v>2</v>
      </c>
      <c r="F8" s="4"/>
      <c r="G8" s="4"/>
      <c r="H8" s="4"/>
      <c r="I8" s="4"/>
      <c r="J8" s="4"/>
      <c r="M8" s="20"/>
    </row>
    <row r="9" spans="2:24" x14ac:dyDescent="0.3">
      <c r="B9" s="29" t="s">
        <v>43</v>
      </c>
      <c r="C9" s="40">
        <f>N12/(1-C13)</f>
        <v>0.12118746295965072</v>
      </c>
      <c r="E9" s="5" t="s">
        <v>3</v>
      </c>
      <c r="F9" s="6">
        <f>-C3/C14</f>
        <v>-2698.4126984126983</v>
      </c>
      <c r="G9" s="6">
        <f>F9</f>
        <v>-2698.4126984126983</v>
      </c>
      <c r="H9" s="6">
        <f t="shared" ref="H9:J9" si="4">G9</f>
        <v>-2698.4126984126983</v>
      </c>
      <c r="I9" s="6">
        <f t="shared" si="4"/>
        <v>-2698.4126984126983</v>
      </c>
      <c r="J9" s="6">
        <f t="shared" si="4"/>
        <v>-2698.4126984126983</v>
      </c>
    </row>
    <row r="10" spans="2:24" ht="15" thickBot="1" x14ac:dyDescent="0.35">
      <c r="B10" t="s">
        <v>27</v>
      </c>
      <c r="C10" s="12" t="s">
        <v>28</v>
      </c>
      <c r="E10" s="7" t="s">
        <v>2</v>
      </c>
      <c r="F10" s="8">
        <f>SUM(F7:F9)</f>
        <v>9301.5873015873021</v>
      </c>
      <c r="G10" s="8">
        <f t="shared" ref="G10:J10" si="5">SUM(G7:G9)</f>
        <v>9301.5873015873021</v>
      </c>
      <c r="H10" s="8">
        <f t="shared" si="5"/>
        <v>9301.5873015873021</v>
      </c>
      <c r="I10" s="8">
        <f t="shared" si="5"/>
        <v>9301.5873015873021</v>
      </c>
      <c r="J10" s="8">
        <f t="shared" si="5"/>
        <v>9301.5873015873021</v>
      </c>
      <c r="L10" s="24" t="str">
        <f>B7</f>
        <v>Loan-to-Equity</v>
      </c>
      <c r="M10" s="30" t="str">
        <f>L5</f>
        <v>BT-IRR</v>
      </c>
      <c r="N10" s="30" t="str">
        <f>L7</f>
        <v>AT-IRR</v>
      </c>
      <c r="V10" s="37" t="s">
        <v>40</v>
      </c>
      <c r="W10" s="37"/>
      <c r="X10" s="37"/>
    </row>
    <row r="11" spans="2:24" ht="15" thickBot="1" x14ac:dyDescent="0.35">
      <c r="B11" s="3" t="s">
        <v>29</v>
      </c>
      <c r="C11" s="16"/>
      <c r="E11" s="5" t="s">
        <v>4</v>
      </c>
      <c r="F11" s="17">
        <f>F10*$C$13</f>
        <v>1860.3174603174605</v>
      </c>
      <c r="G11" s="17">
        <f t="shared" ref="G11:J11" si="6">G10*$C$13</f>
        <v>1860.3174603174605</v>
      </c>
      <c r="H11" s="17">
        <f t="shared" si="6"/>
        <v>1860.3174603174605</v>
      </c>
      <c r="I11" s="17">
        <f t="shared" si="6"/>
        <v>1860.3174603174605</v>
      </c>
      <c r="J11" s="17">
        <f t="shared" si="6"/>
        <v>1860.3174603174605</v>
      </c>
      <c r="L11" s="25">
        <f>C7</f>
        <v>0</v>
      </c>
      <c r="M11" s="23">
        <f>M5</f>
        <v>0.11999999999999988</v>
      </c>
      <c r="N11" s="23">
        <f>M7</f>
        <v>9.6949970367720573E-2</v>
      </c>
      <c r="U11" s="33">
        <f>N11</f>
        <v>9.6949970367720573E-2</v>
      </c>
      <c r="V11" s="31">
        <v>0.6</v>
      </c>
      <c r="W11" s="23">
        <f>V11+10%</f>
        <v>0.7</v>
      </c>
      <c r="X11" s="23">
        <f>W11+10%</f>
        <v>0.79999999999999993</v>
      </c>
    </row>
    <row r="12" spans="2:24" x14ac:dyDescent="0.3">
      <c r="B12" t="s">
        <v>1</v>
      </c>
      <c r="C12" s="10">
        <v>12000</v>
      </c>
      <c r="E12" s="3" t="s">
        <v>5</v>
      </c>
      <c r="F12" s="4"/>
      <c r="G12" s="4"/>
      <c r="H12" s="4"/>
      <c r="I12" s="4"/>
      <c r="J12" s="4"/>
      <c r="L12" s="26">
        <v>0</v>
      </c>
      <c r="M12" s="27">
        <f t="dataTable" ref="M12:N21" dt2D="0" dtr="0" r1="C7" ca="1"/>
        <v>0.11999999999999988</v>
      </c>
      <c r="N12" s="27">
        <v>9.6949970367720573E-2</v>
      </c>
      <c r="T12" s="38" t="s">
        <v>41</v>
      </c>
      <c r="U12" s="34">
        <f t="shared" ref="U12:U15" si="7">U13/1.1</f>
        <v>7.5556706373568011E-2</v>
      </c>
      <c r="V12" s="32">
        <f t="dataTable" ref="V12:X21" dt2D="1" dtr="1" r1="C7" r2="C9"/>
        <v>0.1528753978273989</v>
      </c>
      <c r="W12" s="32">
        <v>0.18448838664928124</v>
      </c>
      <c r="X12" s="32">
        <v>0.24872201187960719</v>
      </c>
    </row>
    <row r="13" spans="2:24" x14ac:dyDescent="0.3">
      <c r="B13" t="s">
        <v>30</v>
      </c>
      <c r="C13" s="11">
        <f>'Positive Leverage &amp; IRR'!C13</f>
        <v>0.2</v>
      </c>
      <c r="E13" t="s">
        <v>8</v>
      </c>
      <c r="F13" s="2">
        <f>F7</f>
        <v>12000</v>
      </c>
      <c r="G13" s="2">
        <f>G7</f>
        <v>12000</v>
      </c>
      <c r="H13" s="2">
        <f>H7</f>
        <v>12000</v>
      </c>
      <c r="I13" s="2">
        <f>I7</f>
        <v>12000</v>
      </c>
      <c r="J13" s="2">
        <f>J7</f>
        <v>12000</v>
      </c>
      <c r="L13" s="26">
        <f>L12+10%</f>
        <v>0.1</v>
      </c>
      <c r="M13" s="27">
        <v>0.11986805967115011</v>
      </c>
      <c r="N13" s="27">
        <v>9.6949970367720351E-2</v>
      </c>
      <c r="T13" s="38"/>
      <c r="U13" s="34">
        <f t="shared" si="7"/>
        <v>8.3112377010924818E-2</v>
      </c>
      <c r="V13" s="32">
        <v>0.14362463499263844</v>
      </c>
      <c r="W13" s="32">
        <v>0.17002370995283944</v>
      </c>
      <c r="X13" s="32">
        <v>0.22371851767358719</v>
      </c>
    </row>
    <row r="14" spans="2:24" x14ac:dyDescent="0.3">
      <c r="B14" t="s">
        <v>44</v>
      </c>
      <c r="C14" s="12">
        <v>31.5</v>
      </c>
      <c r="E14" t="s">
        <v>6</v>
      </c>
      <c r="F14" s="2">
        <f>-F11</f>
        <v>-1860.3174603174605</v>
      </c>
      <c r="G14" s="2">
        <f t="shared" ref="G14:J14" si="8">-G11</f>
        <v>-1860.3174603174605</v>
      </c>
      <c r="H14" s="2">
        <f t="shared" si="8"/>
        <v>-1860.3174603174605</v>
      </c>
      <c r="I14" s="2">
        <f t="shared" si="8"/>
        <v>-1860.3174603174605</v>
      </c>
      <c r="J14" s="2">
        <f t="shared" si="8"/>
        <v>-1860.3174603174605</v>
      </c>
      <c r="L14" s="26">
        <f t="shared" ref="L14:L20" si="9">L13+10%</f>
        <v>0.2</v>
      </c>
      <c r="M14" s="27">
        <v>0.11970313426008716</v>
      </c>
      <c r="N14" s="27">
        <v>9.6949970367720351E-2</v>
      </c>
      <c r="T14" s="38"/>
      <c r="U14" s="34">
        <f t="shared" si="7"/>
        <v>9.1423614712017306E-2</v>
      </c>
      <c r="V14" s="32">
        <v>0.13344453366902775</v>
      </c>
      <c r="W14" s="32">
        <v>0.15409927374154342</v>
      </c>
      <c r="X14" s="32">
        <v>0.19616053196778771</v>
      </c>
    </row>
    <row r="15" spans="2:24" ht="15" thickBot="1" x14ac:dyDescent="0.35">
      <c r="B15" t="s">
        <v>31</v>
      </c>
      <c r="C15" s="10">
        <v>100000</v>
      </c>
      <c r="E15" s="7" t="s">
        <v>9</v>
      </c>
      <c r="F15" s="8">
        <f>SUM(F13:F14)</f>
        <v>10139.682539682539</v>
      </c>
      <c r="G15" s="8">
        <f t="shared" ref="G15:J15" si="10">SUM(G13:G14)</f>
        <v>10139.682539682539</v>
      </c>
      <c r="H15" s="8">
        <f t="shared" si="10"/>
        <v>10139.682539682539</v>
      </c>
      <c r="I15" s="8">
        <f t="shared" si="10"/>
        <v>10139.682539682539</v>
      </c>
      <c r="J15" s="8">
        <f t="shared" si="10"/>
        <v>10139.682539682539</v>
      </c>
      <c r="L15" s="26">
        <f t="shared" si="9"/>
        <v>0.30000000000000004</v>
      </c>
      <c r="M15" s="27">
        <v>0.11949108730300684</v>
      </c>
      <c r="N15" s="27">
        <v>9.6949970367720573E-2</v>
      </c>
      <c r="T15" s="38"/>
      <c r="U15" s="34">
        <f t="shared" si="7"/>
        <v>0.10056597618321905</v>
      </c>
      <c r="V15" s="32">
        <v>0.12224115815544923</v>
      </c>
      <c r="W15" s="32">
        <v>0.13656576463064662</v>
      </c>
      <c r="X15" s="32">
        <v>0.16577705747421834</v>
      </c>
    </row>
    <row r="16" spans="2:24" ht="15" thickBot="1" x14ac:dyDescent="0.35">
      <c r="B16" t="s">
        <v>32</v>
      </c>
      <c r="C16" s="12" t="s">
        <v>33</v>
      </c>
      <c r="E16" s="18" t="s">
        <v>35</v>
      </c>
      <c r="F16" s="18"/>
      <c r="G16" s="18"/>
      <c r="H16" s="18"/>
      <c r="I16" s="18"/>
      <c r="J16" s="18"/>
      <c r="L16" s="26">
        <f t="shared" si="9"/>
        <v>0.4</v>
      </c>
      <c r="M16" s="27">
        <v>0.11920835802689966</v>
      </c>
      <c r="N16" s="27">
        <v>9.6949970367720573E-2</v>
      </c>
      <c r="T16" s="38"/>
      <c r="U16" s="34">
        <f>U17/1.1</f>
        <v>0.11062257380154096</v>
      </c>
      <c r="V16" s="32">
        <v>0.10991093175597766</v>
      </c>
      <c r="W16" s="32">
        <v>0.11725803964187853</v>
      </c>
      <c r="X16" s="32">
        <v>0.13226505567473201</v>
      </c>
    </row>
    <row r="17" spans="5:24" x14ac:dyDescent="0.3">
      <c r="E17" t="s">
        <v>10</v>
      </c>
      <c r="F17" s="2"/>
      <c r="G17" s="2"/>
      <c r="H17" s="2"/>
      <c r="I17" s="2"/>
      <c r="J17" s="2">
        <f>C15</f>
        <v>100000</v>
      </c>
      <c r="L17" s="26">
        <f t="shared" si="9"/>
        <v>0.5</v>
      </c>
      <c r="M17" s="27">
        <v>0.11881253704034944</v>
      </c>
      <c r="N17" s="27">
        <v>9.6949970367720351E-2</v>
      </c>
      <c r="T17" s="38"/>
      <c r="U17" s="35">
        <v>0.12168483118169507</v>
      </c>
      <c r="V17" s="32">
        <v>9.6339607826354312E-2</v>
      </c>
      <c r="W17" s="32">
        <v>9.5993282958176218E-2</v>
      </c>
      <c r="X17" s="32">
        <v>9.5284525687400645E-2</v>
      </c>
    </row>
    <row r="18" spans="5:24" x14ac:dyDescent="0.3">
      <c r="E18" t="s">
        <v>36</v>
      </c>
      <c r="F18" s="2"/>
      <c r="G18" s="2"/>
      <c r="H18" s="2"/>
      <c r="I18" s="2"/>
      <c r="J18" s="2">
        <f>-C8</f>
        <v>0</v>
      </c>
      <c r="L18" s="26">
        <f>L17+10%</f>
        <v>0.6</v>
      </c>
      <c r="M18" s="27">
        <v>0.11821880556008524</v>
      </c>
      <c r="N18" s="27">
        <v>9.6949970367720351E-2</v>
      </c>
      <c r="T18" s="38"/>
      <c r="U18" s="34">
        <f>U17*1.1</f>
        <v>0.13385331429986458</v>
      </c>
      <c r="V18" s="32">
        <v>8.1401119860885052E-2</v>
      </c>
      <c r="W18" s="32">
        <v>7.2568898426186745E-2</v>
      </c>
      <c r="X18" s="32">
        <v>5.4452473686160241E-2</v>
      </c>
    </row>
    <row r="19" spans="5:24" ht="15" thickBot="1" x14ac:dyDescent="0.35">
      <c r="E19" t="s">
        <v>11</v>
      </c>
      <c r="F19" s="2"/>
      <c r="G19" s="2"/>
      <c r="H19" s="2"/>
      <c r="I19" s="2"/>
      <c r="J19" s="8">
        <f>SUM(J17:J18)</f>
        <v>100000</v>
      </c>
      <c r="L19" s="26">
        <f t="shared" si="9"/>
        <v>0.7</v>
      </c>
      <c r="M19" s="27">
        <v>0.11722925309385923</v>
      </c>
      <c r="N19" s="27">
        <v>9.6949970367720351E-2</v>
      </c>
      <c r="T19" s="38"/>
      <c r="U19" s="34">
        <f t="shared" ref="U19:U21" si="11">U18*1.1</f>
        <v>0.14723864572985104</v>
      </c>
      <c r="V19" s="32">
        <v>6.4956293274795351E-2</v>
      </c>
      <c r="W19" s="32">
        <v>4.6760086892596364E-2</v>
      </c>
      <c r="X19" s="32">
        <v>9.335471358641767E-3</v>
      </c>
    </row>
    <row r="20" spans="5:24" x14ac:dyDescent="0.3">
      <c r="E20" t="s">
        <v>12</v>
      </c>
      <c r="F20" s="2"/>
      <c r="G20" s="2"/>
      <c r="H20" s="2"/>
      <c r="I20" s="2"/>
      <c r="J20" s="2"/>
      <c r="L20" s="26">
        <f t="shared" si="9"/>
        <v>0.79999999999999993</v>
      </c>
      <c r="M20" s="27">
        <v>0.11525014816128065</v>
      </c>
      <c r="N20" s="27">
        <v>9.6949970367720129E-2</v>
      </c>
      <c r="T20" s="38"/>
      <c r="U20" s="34">
        <f t="shared" si="11"/>
        <v>0.16196251030283615</v>
      </c>
      <c r="V20" s="32">
        <v>4.6851398307194536E-2</v>
      </c>
      <c r="W20" s="32">
        <v>1.8317046294488604E-2</v>
      </c>
      <c r="X20" s="32">
        <v>-4.0559524970042893E-2</v>
      </c>
    </row>
    <row r="21" spans="5:24" x14ac:dyDescent="0.3">
      <c r="E21" t="s">
        <v>10</v>
      </c>
      <c r="F21" s="2"/>
      <c r="G21" s="2"/>
      <c r="H21" s="2"/>
      <c r="I21" s="2">
        <f>J17</f>
        <v>100000</v>
      </c>
      <c r="J21" s="2"/>
      <c r="L21" s="26">
        <f>L20+10%</f>
        <v>0.89999999999999991</v>
      </c>
      <c r="M21" s="27">
        <v>0.10931283336314035</v>
      </c>
      <c r="N21" s="27">
        <v>9.6949970367719907E-2</v>
      </c>
      <c r="T21" s="38"/>
      <c r="U21" s="34">
        <f t="shared" si="11"/>
        <v>0.17815876133311978</v>
      </c>
      <c r="V21" s="32">
        <v>2.6916519584563092E-2</v>
      </c>
      <c r="W21" s="32">
        <v>-1.3038279315934709E-2</v>
      </c>
      <c r="X21" s="32">
        <v>-9.5796342100857523E-2</v>
      </c>
    </row>
    <row r="22" spans="5:24" x14ac:dyDescent="0.3">
      <c r="E22" t="s">
        <v>13</v>
      </c>
      <c r="F22" s="2"/>
      <c r="G22" s="2"/>
      <c r="H22" s="2">
        <f>-C5</f>
        <v>-100000</v>
      </c>
      <c r="I22" s="2"/>
      <c r="J22" s="2"/>
      <c r="K22" s="27"/>
      <c r="L22" s="27"/>
      <c r="M22" s="27"/>
      <c r="N22" s="27"/>
    </row>
    <row r="23" spans="5:24" x14ac:dyDescent="0.3">
      <c r="E23" t="s">
        <v>14</v>
      </c>
      <c r="F23" s="2"/>
      <c r="G23" s="2"/>
      <c r="H23" s="2">
        <f>-SUM(F9:J9)</f>
        <v>13492.063492063491</v>
      </c>
      <c r="I23" s="2"/>
      <c r="J23" s="2"/>
      <c r="L23" s="27"/>
      <c r="M23" s="27"/>
      <c r="N23" s="27"/>
    </row>
    <row r="24" spans="5:24" x14ac:dyDescent="0.3">
      <c r="E24" t="s">
        <v>15</v>
      </c>
      <c r="F24" s="2"/>
      <c r="G24" s="2"/>
      <c r="H24" s="2"/>
      <c r="I24" s="2">
        <f>H22+H23</f>
        <v>-86507.936507936509</v>
      </c>
      <c r="J24" s="2"/>
      <c r="L24" s="27"/>
      <c r="M24" s="27"/>
      <c r="N24" s="27"/>
    </row>
    <row r="25" spans="5:24" ht="15" thickBot="1" x14ac:dyDescent="0.35">
      <c r="E25" t="s">
        <v>16</v>
      </c>
      <c r="F25" s="2"/>
      <c r="G25" s="2"/>
      <c r="H25" s="2"/>
      <c r="I25" s="8">
        <f>SUM(I21:I24)</f>
        <v>13492.063492063491</v>
      </c>
      <c r="J25" s="2"/>
    </row>
    <row r="26" spans="5:24" x14ac:dyDescent="0.3">
      <c r="E26" t="s">
        <v>17</v>
      </c>
      <c r="F26" s="2"/>
      <c r="G26" s="2"/>
      <c r="H26" s="2"/>
      <c r="I26" s="2"/>
      <c r="J26" s="2">
        <f>I25*-C13</f>
        <v>-2698.4126984126983</v>
      </c>
    </row>
    <row r="27" spans="5:24" ht="15" thickBot="1" x14ac:dyDescent="0.35">
      <c r="E27" s="7" t="s">
        <v>18</v>
      </c>
      <c r="F27" s="8"/>
      <c r="G27" s="8"/>
      <c r="H27" s="8"/>
      <c r="I27" s="8"/>
      <c r="J27" s="8">
        <f>SUM(J19:J26)</f>
        <v>97301.587301587308</v>
      </c>
    </row>
  </sheetData>
  <sheetProtection sheet="1" objects="1" scenarios="1"/>
  <mergeCells count="3">
    <mergeCell ref="E2:J2"/>
    <mergeCell ref="V10:X10"/>
    <mergeCell ref="T12:T21"/>
  </mergeCells>
  <conditionalFormatting sqref="A2:E2 K2:O2 D3:O3 B3:C6 A3:A26 D4:R4 D5:O5 D6:R6 B7 D7:O8 B8:C16 D9:D26 K9:O29 E16 E17:J27 A27:D29 A30:O36 E9:J15">
    <cfRule type="expression" dxfId="4" priority="5">
      <formula>_xlfn.ISFORMULA(A2)</formula>
    </cfRule>
  </conditionalFormatting>
  <conditionalFormatting sqref="V10 U11:X11 U12:U21">
    <cfRule type="expression" dxfId="5" priority="4">
      <formula>_xlfn.ISFORMULA(U10)</formula>
    </cfRule>
  </conditionalFormatting>
  <conditionalFormatting sqref="V12:X21">
    <cfRule type="colorScale" priority="1">
      <colorScale>
        <cfvo type="min"/>
        <cfvo type="max"/>
        <color theme="4" tint="0.59999389629810485"/>
        <color theme="4" tint="-0.249977111117893"/>
      </colorScale>
    </cfRule>
    <cfRule type="colorScale" priority="2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Positive Leverage &amp; IRR</vt:lpstr>
      <vt:lpstr>Negative Leverage &amp; IRR</vt:lpstr>
      <vt:lpstr>BreackEven Interest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2024-12-07T10:37:07Z</dcterms:modified>
</cp:coreProperties>
</file>