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comments7.xml" ContentType="application/vnd.openxmlformats-officedocument.spreadsheetml.comments+xml"/>
  <Override PartName="/xl/drawings/drawing3.xml" ContentType="application/vnd.openxmlformats-officedocument.drawing+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https://d.docs.live.net/89870f9c02b3cf52/Desktop/"/>
    </mc:Choice>
  </mc:AlternateContent>
  <xr:revisionPtr revIDLastSave="8039" documentId="13_ncr:1_{830AFA82-BBC1-433E-A6FA-990F619DC60B}" xr6:coauthVersionLast="47" xr6:coauthVersionMax="47" xr10:uidLastSave="{83D7A0D0-6CBE-4283-91C3-3781A57D52BF}"/>
  <bookViews>
    <workbookView xWindow="-108" yWindow="-108" windowWidth="23256" windowHeight="12456" tabRatio="872" firstSheet="1" activeTab="12" xr2:uid="{00000000-000D-0000-FFFF-FFFF00000000}"/>
  </bookViews>
  <sheets>
    <sheet name="Chack" sheetId="16" r:id="rId1"/>
    <sheet name="DATA" sheetId="13" r:id="rId2"/>
    <sheet name="Income&amp;Equity" sheetId="1" r:id="rId3"/>
    <sheet name="NOPAT" sheetId="3" r:id="rId4"/>
    <sheet name="Balance" sheetId="2" r:id="rId5"/>
    <sheet name="Investment" sheetId="4" r:id="rId6"/>
    <sheet name="FCF" sheetId="5" r:id="rId7"/>
    <sheet name="WACC" sheetId="7" r:id="rId8"/>
    <sheet name="DCF Method" sheetId="8" r:id="rId9"/>
    <sheet name="EC Profit Method" sheetId="9" r:id="rId10"/>
    <sheet name="Unlevered CoE" sheetId="12" r:id="rId11"/>
    <sheet name="APV Method" sheetId="10" r:id="rId12"/>
    <sheet name="CF to Eq. Method" sheetId="11" r:id="rId13"/>
    <sheet name="ROIC Decomposition" sheetId="14" r:id="rId14"/>
    <sheet name="Growth Power" sheetId="15" r:id="rId15"/>
  </sheets>
  <definedNames>
    <definedName name="Deviation">#REF!</definedName>
    <definedName name="P">#REF!</definedName>
    <definedName name="solver_adj" localSheetId="4" hidden="1">Balance!$D$4:$N$4</definedName>
    <definedName name="solver_cvg" localSheetId="4" hidden="1">0.0001</definedName>
    <definedName name="solver_drv" localSheetId="4" hidden="1">2</definedName>
    <definedName name="solver_eng" localSheetId="4" hidden="1">1</definedName>
    <definedName name="solver_est" localSheetId="4" hidden="1">1</definedName>
    <definedName name="solver_itr" localSheetId="4" hidden="1">2147483647</definedName>
    <definedName name="solver_lhs1" localSheetId="4" hidden="1">Balance!$D$29</definedName>
    <definedName name="solver_lhs10" localSheetId="4" hidden="1">Balance!$M$29</definedName>
    <definedName name="solver_lhs2" localSheetId="4" hidden="1">Balance!$E$29</definedName>
    <definedName name="solver_lhs3" localSheetId="4" hidden="1">Balance!$F$29</definedName>
    <definedName name="solver_lhs4" localSheetId="4" hidden="1">Balance!$G$29</definedName>
    <definedName name="solver_lhs5" localSheetId="4" hidden="1">Balance!$H$29</definedName>
    <definedName name="solver_lhs6" localSheetId="4" hidden="1">Balance!$I$29</definedName>
    <definedName name="solver_lhs7" localSheetId="4" hidden="1">Balance!$J$29</definedName>
    <definedName name="solver_lhs8" localSheetId="4" hidden="1">Balance!$K$29</definedName>
    <definedName name="solver_lhs9" localSheetId="4" hidden="1">Balance!$L$29</definedName>
    <definedName name="solver_mip" localSheetId="4" hidden="1">2147483647</definedName>
    <definedName name="solver_mni" localSheetId="4" hidden="1">30</definedName>
    <definedName name="solver_mrt" localSheetId="4" hidden="1">0.075</definedName>
    <definedName name="solver_msl" localSheetId="4" hidden="1">2</definedName>
    <definedName name="solver_neg" localSheetId="4" hidden="1">1</definedName>
    <definedName name="solver_nod" localSheetId="4" hidden="1">2147483647</definedName>
    <definedName name="solver_num" localSheetId="4" hidden="1">10</definedName>
    <definedName name="solver_nwt" localSheetId="4" hidden="1">1</definedName>
    <definedName name="solver_opt" localSheetId="4" hidden="1">Balance!$N$29</definedName>
    <definedName name="solver_pre" localSheetId="4" hidden="1">0.000001</definedName>
    <definedName name="solver_rbv" localSheetId="4" hidden="1">2</definedName>
    <definedName name="solver_rel1" localSheetId="4" hidden="1">2</definedName>
    <definedName name="solver_rel10" localSheetId="4" hidden="1">2</definedName>
    <definedName name="solver_rel2" localSheetId="4" hidden="1">2</definedName>
    <definedName name="solver_rel3" localSheetId="4" hidden="1">2</definedName>
    <definedName name="solver_rel4" localSheetId="4" hidden="1">2</definedName>
    <definedName name="solver_rel5" localSheetId="4" hidden="1">2</definedName>
    <definedName name="solver_rel6" localSheetId="4" hidden="1">2</definedName>
    <definedName name="solver_rel7" localSheetId="4" hidden="1">2</definedName>
    <definedName name="solver_rel8" localSheetId="4" hidden="1">2</definedName>
    <definedName name="solver_rel9" localSheetId="4" hidden="1">2</definedName>
    <definedName name="solver_rhs1" localSheetId="4" hidden="1">0</definedName>
    <definedName name="solver_rhs10" localSheetId="4" hidden="1">0</definedName>
    <definedName name="solver_rhs2" localSheetId="4" hidden="1">0</definedName>
    <definedName name="solver_rhs3" localSheetId="4" hidden="1">0</definedName>
    <definedName name="solver_rhs4" localSheetId="4" hidden="1">0</definedName>
    <definedName name="solver_rhs5" localSheetId="4" hidden="1">0</definedName>
    <definedName name="solver_rhs6" localSheetId="4" hidden="1">0</definedName>
    <definedName name="solver_rhs7" localSheetId="4" hidden="1">0</definedName>
    <definedName name="solver_rhs8" localSheetId="4" hidden="1">0</definedName>
    <definedName name="solver_rhs9" localSheetId="4" hidden="1">0</definedName>
    <definedName name="solver_rlx" localSheetId="4" hidden="1">2</definedName>
    <definedName name="solver_rsd" localSheetId="4" hidden="1">0</definedName>
    <definedName name="solver_scl" localSheetId="4" hidden="1">2</definedName>
    <definedName name="solver_sho" localSheetId="4" hidden="1">2</definedName>
    <definedName name="solver_ssz" localSheetId="4" hidden="1">100</definedName>
    <definedName name="solver_tim" localSheetId="4" hidden="1">2147483647</definedName>
    <definedName name="solver_tol" localSheetId="4" hidden="1">0.01</definedName>
    <definedName name="solver_typ" localSheetId="4" hidden="1">3</definedName>
    <definedName name="solver_val" localSheetId="4" hidden="1">0</definedName>
    <definedName name="solver_ver" localSheetId="4" hidden="1">3</definedName>
    <definedName name="STDV.S">#REF!</definedName>
    <definedName name="V.COV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 i="11" l="1"/>
  <c r="M28" i="11"/>
  <c r="M29" i="11"/>
  <c r="E23" i="11"/>
  <c r="F23" i="11"/>
  <c r="G23" i="11"/>
  <c r="H23" i="11"/>
  <c r="I23" i="11"/>
  <c r="J23" i="11"/>
  <c r="K23" i="11"/>
  <c r="L23" i="11"/>
  <c r="M23" i="11"/>
  <c r="D23" i="11"/>
  <c r="L35" i="11"/>
  <c r="I28" i="11"/>
  <c r="I35" i="11"/>
  <c r="M35" i="11" s="1"/>
  <c r="H30" i="11"/>
  <c r="H35" i="11"/>
  <c r="D28" i="11" s="1"/>
  <c r="I33" i="11"/>
  <c r="D18" i="11"/>
  <c r="E18" i="11"/>
  <c r="F18" i="11"/>
  <c r="G18" i="11"/>
  <c r="H18" i="11"/>
  <c r="I18" i="11"/>
  <c r="J18" i="11"/>
  <c r="K18" i="11"/>
  <c r="L18" i="11"/>
  <c r="M18" i="11"/>
  <c r="C18" i="11"/>
  <c r="I32" i="11"/>
  <c r="I31" i="11"/>
  <c r="L15" i="7"/>
  <c r="K15" i="7"/>
  <c r="F15" i="7"/>
  <c r="E15" i="7"/>
  <c r="D15" i="7"/>
  <c r="M15" i="7" l="1"/>
  <c r="E47" i="11"/>
  <c r="B29" i="11"/>
  <c r="B30" i="11" s="1"/>
  <c r="B31" i="11" s="1"/>
  <c r="D4" i="11"/>
  <c r="E4" i="11"/>
  <c r="F4" i="11"/>
  <c r="G4" i="11"/>
  <c r="H4" i="11"/>
  <c r="I4" i="11"/>
  <c r="J4" i="11"/>
  <c r="K4" i="11"/>
  <c r="L4" i="11"/>
  <c r="M4" i="11"/>
  <c r="D8" i="11"/>
  <c r="E8" i="11"/>
  <c r="F8" i="11"/>
  <c r="G8" i="11"/>
  <c r="H8" i="11"/>
  <c r="I8" i="11"/>
  <c r="J8" i="11"/>
  <c r="K8" i="11"/>
  <c r="L8" i="11"/>
  <c r="M8" i="11"/>
  <c r="D9" i="11"/>
  <c r="E9" i="11"/>
  <c r="F9" i="11"/>
  <c r="G9" i="11"/>
  <c r="H9" i="11"/>
  <c r="I9" i="11"/>
  <c r="J9" i="11"/>
  <c r="K9" i="11"/>
  <c r="L9" i="11"/>
  <c r="M9" i="11"/>
  <c r="D10" i="11"/>
  <c r="E10" i="11"/>
  <c r="F10" i="11"/>
  <c r="G10" i="11"/>
  <c r="H10" i="11"/>
  <c r="I10" i="11"/>
  <c r="J10" i="11"/>
  <c r="K10" i="11"/>
  <c r="L10" i="11"/>
  <c r="M10" i="11"/>
  <c r="D12" i="11"/>
  <c r="E12" i="11"/>
  <c r="F12" i="11"/>
  <c r="G12" i="11"/>
  <c r="H12" i="11"/>
  <c r="I12" i="11"/>
  <c r="J12" i="11"/>
  <c r="K12" i="11"/>
  <c r="L12" i="11"/>
  <c r="M12" i="11"/>
  <c r="D13" i="11"/>
  <c r="E13" i="11"/>
  <c r="F13" i="11"/>
  <c r="G13" i="11"/>
  <c r="H13" i="11"/>
  <c r="I13" i="11"/>
  <c r="J13" i="11"/>
  <c r="K13" i="11"/>
  <c r="L13" i="11"/>
  <c r="M13" i="11"/>
  <c r="D19" i="11"/>
  <c r="D21" i="11" s="1"/>
  <c r="E19" i="11"/>
  <c r="E21" i="11" s="1"/>
  <c r="F19" i="11"/>
  <c r="G19" i="11"/>
  <c r="G21" i="11" s="1"/>
  <c r="H19" i="11"/>
  <c r="H21" i="11" s="1"/>
  <c r="I19" i="11"/>
  <c r="J19" i="11"/>
  <c r="K19" i="11"/>
  <c r="L19" i="11"/>
  <c r="L21" i="11" s="1"/>
  <c r="M19" i="11"/>
  <c r="M21" i="11" s="1"/>
  <c r="D20" i="11"/>
  <c r="E20" i="11"/>
  <c r="F20" i="11"/>
  <c r="G20" i="11"/>
  <c r="H20" i="11"/>
  <c r="I20" i="11"/>
  <c r="J20" i="11"/>
  <c r="K20" i="11"/>
  <c r="L20" i="11"/>
  <c r="M20" i="11"/>
  <c r="C13" i="11"/>
  <c r="B13" i="11"/>
  <c r="B18" i="11"/>
  <c r="B10" i="11"/>
  <c r="B9" i="11"/>
  <c r="C9" i="11"/>
  <c r="C10" i="11"/>
  <c r="B40" i="10"/>
  <c r="G40" i="10"/>
  <c r="H42" i="9"/>
  <c r="P20" i="8"/>
  <c r="G37" i="10" s="1"/>
  <c r="B19" i="10"/>
  <c r="B20" i="10" s="1"/>
  <c r="B21" i="10" s="1"/>
  <c r="B22" i="10" s="1"/>
  <c r="B23" i="10" s="1"/>
  <c r="B24" i="10" s="1"/>
  <c r="B25" i="10" s="1"/>
  <c r="B26" i="10" s="1"/>
  <c r="B27" i="10" s="1"/>
  <c r="B28" i="10" s="1"/>
  <c r="F10" i="5"/>
  <c r="G10" i="5"/>
  <c r="H10" i="5"/>
  <c r="I10" i="5"/>
  <c r="J10" i="5"/>
  <c r="K10" i="5"/>
  <c r="L10" i="5"/>
  <c r="M10" i="5"/>
  <c r="N10" i="5"/>
  <c r="E10" i="5"/>
  <c r="D10" i="5"/>
  <c r="F21" i="11" l="1"/>
  <c r="K21" i="11"/>
  <c r="J21" i="11"/>
  <c r="D29" i="11"/>
  <c r="B32" i="11"/>
  <c r="D31" i="11"/>
  <c r="D30" i="11"/>
  <c r="I21" i="11"/>
  <c r="E9" i="5"/>
  <c r="F9" i="5"/>
  <c r="G9" i="5"/>
  <c r="H9" i="5"/>
  <c r="I9" i="5"/>
  <c r="J9" i="5"/>
  <c r="K9" i="5"/>
  <c r="L9" i="5"/>
  <c r="M9" i="5"/>
  <c r="N9" i="5"/>
  <c r="D9" i="5"/>
  <c r="F18" i="5"/>
  <c r="G18" i="5"/>
  <c r="H18" i="5"/>
  <c r="I18" i="5"/>
  <c r="J18" i="5"/>
  <c r="K18" i="5"/>
  <c r="L18" i="5"/>
  <c r="M18" i="5"/>
  <c r="N18" i="5"/>
  <c r="E18" i="5"/>
  <c r="D18" i="5"/>
  <c r="D23" i="2"/>
  <c r="E23" i="2" s="1"/>
  <c r="F23" i="2" s="1"/>
  <c r="G23" i="2" s="1"/>
  <c r="H23" i="2" s="1"/>
  <c r="I23" i="2" s="1"/>
  <c r="J23" i="2" s="1"/>
  <c r="K23" i="2" s="1"/>
  <c r="L23" i="2" s="1"/>
  <c r="M23" i="2" s="1"/>
  <c r="N23" i="2" s="1"/>
  <c r="E24" i="2"/>
  <c r="F24" i="2"/>
  <c r="G24" i="2"/>
  <c r="H24" i="2"/>
  <c r="I24" i="2"/>
  <c r="J24" i="2"/>
  <c r="K24" i="2"/>
  <c r="L24" i="2"/>
  <c r="M24" i="2"/>
  <c r="N24" i="2"/>
  <c r="E25" i="2"/>
  <c r="F25" i="2"/>
  <c r="G25" i="2"/>
  <c r="H25" i="2"/>
  <c r="I25" i="2"/>
  <c r="J25" i="2"/>
  <c r="K25" i="2"/>
  <c r="L25" i="2"/>
  <c r="M25" i="2"/>
  <c r="N25" i="2"/>
  <c r="D25" i="2"/>
  <c r="D24" i="2"/>
  <c r="E19" i="2"/>
  <c r="F19" i="2"/>
  <c r="G19" i="2"/>
  <c r="H19" i="2"/>
  <c r="I19" i="2"/>
  <c r="J19" i="2"/>
  <c r="K19" i="2"/>
  <c r="L19" i="2"/>
  <c r="M19" i="2"/>
  <c r="N19" i="2"/>
  <c r="E20" i="2"/>
  <c r="F20" i="2"/>
  <c r="G20" i="2"/>
  <c r="H20" i="2"/>
  <c r="I20" i="2"/>
  <c r="J20" i="2"/>
  <c r="K20" i="2"/>
  <c r="L20" i="2"/>
  <c r="M20" i="2"/>
  <c r="N20" i="2"/>
  <c r="D20" i="2"/>
  <c r="D19" i="2"/>
  <c r="E18" i="2"/>
  <c r="F18" i="2"/>
  <c r="G18" i="2"/>
  <c r="H18" i="2"/>
  <c r="I18" i="2"/>
  <c r="J18" i="2"/>
  <c r="K18" i="2"/>
  <c r="L18" i="2"/>
  <c r="M18" i="2"/>
  <c r="N18" i="2"/>
  <c r="D18" i="2"/>
  <c r="E17" i="2"/>
  <c r="F17" i="2"/>
  <c r="G17" i="2"/>
  <c r="H17" i="2"/>
  <c r="I17" i="2"/>
  <c r="J17" i="2"/>
  <c r="K17" i="2"/>
  <c r="L17" i="2"/>
  <c r="M17" i="2"/>
  <c r="N17" i="2"/>
  <c r="D17" i="2"/>
  <c r="P69" i="13"/>
  <c r="Q69" i="13" s="1"/>
  <c r="R69" i="13" s="1"/>
  <c r="S69" i="13" s="1"/>
  <c r="T69" i="13" s="1"/>
  <c r="U69" i="13" s="1"/>
  <c r="V69" i="13" s="1"/>
  <c r="W69" i="13" s="1"/>
  <c r="X69" i="13" s="1"/>
  <c r="Y69" i="13" s="1"/>
  <c r="Z69" i="13" s="1"/>
  <c r="AA69" i="13" s="1"/>
  <c r="P68" i="13"/>
  <c r="Q68" i="13" s="1"/>
  <c r="R68" i="13" s="1"/>
  <c r="S68" i="13" s="1"/>
  <c r="T68" i="13" s="1"/>
  <c r="U68" i="13" s="1"/>
  <c r="V68" i="13" s="1"/>
  <c r="W68" i="13" s="1"/>
  <c r="X68" i="13" s="1"/>
  <c r="Y68" i="13" s="1"/>
  <c r="Z68" i="13" s="1"/>
  <c r="AA68" i="13" s="1"/>
  <c r="P74" i="13"/>
  <c r="Q74" i="13" s="1"/>
  <c r="R74" i="13" s="1"/>
  <c r="S74" i="13" s="1"/>
  <c r="T74" i="13" s="1"/>
  <c r="U74" i="13" s="1"/>
  <c r="V74" i="13" s="1"/>
  <c r="W74" i="13" s="1"/>
  <c r="X74" i="13" s="1"/>
  <c r="Y74" i="13" s="1"/>
  <c r="Z74" i="13" s="1"/>
  <c r="AA74" i="13" s="1"/>
  <c r="P75" i="13"/>
  <c r="Q75" i="13" s="1"/>
  <c r="R75" i="13" s="1"/>
  <c r="S75" i="13" s="1"/>
  <c r="T75" i="13" s="1"/>
  <c r="U75" i="13" s="1"/>
  <c r="V75" i="13" s="1"/>
  <c r="W75" i="13" s="1"/>
  <c r="X75" i="13" s="1"/>
  <c r="Y75" i="13" s="1"/>
  <c r="Z75" i="13" s="1"/>
  <c r="AA75" i="13" s="1"/>
  <c r="K72" i="13"/>
  <c r="L72" i="13"/>
  <c r="M72" i="13"/>
  <c r="N72" i="13"/>
  <c r="O72" i="13"/>
  <c r="K74" i="13"/>
  <c r="L74" i="13"/>
  <c r="M74" i="13"/>
  <c r="N74" i="13"/>
  <c r="O74" i="13"/>
  <c r="K75" i="13"/>
  <c r="L75" i="13"/>
  <c r="M75" i="13"/>
  <c r="N75" i="13"/>
  <c r="O75" i="13"/>
  <c r="J72" i="13"/>
  <c r="J74" i="13"/>
  <c r="J75" i="13"/>
  <c r="K68" i="13"/>
  <c r="L68" i="13"/>
  <c r="M68" i="13"/>
  <c r="N68" i="13"/>
  <c r="O68" i="13"/>
  <c r="J68" i="13"/>
  <c r="K69" i="13"/>
  <c r="L69" i="13"/>
  <c r="M69" i="13"/>
  <c r="N69" i="13"/>
  <c r="O69" i="13"/>
  <c r="J69" i="13"/>
  <c r="P63" i="13"/>
  <c r="Q63" i="13" s="1"/>
  <c r="R63" i="13" s="1"/>
  <c r="S63" i="13" s="1"/>
  <c r="T63" i="13" s="1"/>
  <c r="U63" i="13" s="1"/>
  <c r="V63" i="13" s="1"/>
  <c r="W63" i="13" s="1"/>
  <c r="X63" i="13" s="1"/>
  <c r="Y63" i="13" s="1"/>
  <c r="Z63" i="13" s="1"/>
  <c r="AA63" i="13" s="1"/>
  <c r="K63" i="13"/>
  <c r="L63" i="13"/>
  <c r="M63" i="13"/>
  <c r="N63" i="13"/>
  <c r="O63" i="13"/>
  <c r="J63" i="13"/>
  <c r="P64" i="13"/>
  <c r="Q64" i="13" s="1"/>
  <c r="R64" i="13" s="1"/>
  <c r="S64" i="13" s="1"/>
  <c r="T64" i="13" s="1"/>
  <c r="U64" i="13" s="1"/>
  <c r="V64" i="13" s="1"/>
  <c r="W64" i="13" s="1"/>
  <c r="X64" i="13" s="1"/>
  <c r="Y64" i="13" s="1"/>
  <c r="Z64" i="13" s="1"/>
  <c r="AA64" i="13" s="1"/>
  <c r="H136" i="13"/>
  <c r="H104" i="13"/>
  <c r="B7" i="4"/>
  <c r="B33" i="11" l="1"/>
  <c r="D32" i="11"/>
  <c r="C25" i="2"/>
  <c r="C7" i="4" s="1"/>
  <c r="C24" i="2"/>
  <c r="C23" i="2"/>
  <c r="C18" i="2"/>
  <c r="C19" i="2"/>
  <c r="C20" i="2"/>
  <c r="C17" i="2"/>
  <c r="Q3" i="2" s="1"/>
  <c r="H70" i="13"/>
  <c r="C9" i="13"/>
  <c r="H9" i="13"/>
  <c r="K103" i="13"/>
  <c r="J103" i="13"/>
  <c r="B34" i="11" l="1"/>
  <c r="D33" i="11"/>
  <c r="C4" i="7"/>
  <c r="C19" i="4"/>
  <c r="L103" i="13"/>
  <c r="C12" i="2" s="1"/>
  <c r="C11" i="1"/>
  <c r="C10" i="1"/>
  <c r="C9" i="1"/>
  <c r="H97" i="13"/>
  <c r="B6" i="4"/>
  <c r="B5" i="4"/>
  <c r="C13" i="2"/>
  <c r="C6" i="4" s="1"/>
  <c r="C11" i="2"/>
  <c r="C5" i="4" s="1"/>
  <c r="K2" i="13"/>
  <c r="L2" i="13"/>
  <c r="M2" i="13"/>
  <c r="N2" i="13"/>
  <c r="O2" i="13"/>
  <c r="J2" i="13"/>
  <c r="P46" i="13"/>
  <c r="Q46" i="13" s="1"/>
  <c r="R46" i="13" s="1"/>
  <c r="S46" i="13" s="1"/>
  <c r="T46" i="13" s="1"/>
  <c r="U46" i="13" s="1"/>
  <c r="V46" i="13" s="1"/>
  <c r="W46" i="13" s="1"/>
  <c r="X46" i="13" s="1"/>
  <c r="Y46" i="13" s="1"/>
  <c r="Z46" i="13" s="1"/>
  <c r="AA46" i="13" s="1"/>
  <c r="K46" i="13"/>
  <c r="L46" i="13"/>
  <c r="M46" i="13"/>
  <c r="N46" i="13"/>
  <c r="O46" i="13"/>
  <c r="J46" i="13"/>
  <c r="B5" i="3"/>
  <c r="B4" i="3"/>
  <c r="K52" i="13"/>
  <c r="L52" i="13"/>
  <c r="M52" i="13"/>
  <c r="N52" i="13"/>
  <c r="O52" i="13"/>
  <c r="J52" i="13"/>
  <c r="J51" i="13"/>
  <c r="C4" i="1"/>
  <c r="K51" i="13"/>
  <c r="L51" i="13"/>
  <c r="M51" i="13"/>
  <c r="N51" i="13"/>
  <c r="O51" i="13"/>
  <c r="C7" i="2"/>
  <c r="C6" i="2"/>
  <c r="F16" i="5"/>
  <c r="G16" i="5"/>
  <c r="H16" i="5"/>
  <c r="I16" i="5"/>
  <c r="J16" i="5"/>
  <c r="K16" i="5"/>
  <c r="L16" i="5"/>
  <c r="M16" i="5"/>
  <c r="N16" i="5"/>
  <c r="E16" i="5"/>
  <c r="D13" i="4"/>
  <c r="E13" i="4"/>
  <c r="F13" i="4"/>
  <c r="G13" i="4"/>
  <c r="H13" i="4"/>
  <c r="I13" i="4"/>
  <c r="J13" i="4"/>
  <c r="K13" i="4"/>
  <c r="L13" i="4"/>
  <c r="M13" i="4"/>
  <c r="N13" i="4"/>
  <c r="B13" i="4"/>
  <c r="B35" i="11" l="1"/>
  <c r="D34" i="11"/>
  <c r="D19" i="4"/>
  <c r="D7" i="4"/>
  <c r="C21" i="2"/>
  <c r="P51" i="13"/>
  <c r="P52" i="13"/>
  <c r="Q52" i="13" s="1"/>
  <c r="R52" i="13" s="1"/>
  <c r="B36" i="11" l="1"/>
  <c r="D35" i="11"/>
  <c r="E7" i="4"/>
  <c r="E19" i="4"/>
  <c r="S52" i="13"/>
  <c r="B37" i="11" l="1"/>
  <c r="D36" i="11"/>
  <c r="F19" i="4"/>
  <c r="F7" i="4"/>
  <c r="T52" i="13"/>
  <c r="B38" i="11" l="1"/>
  <c r="D38" i="11" s="1"/>
  <c r="D37" i="11"/>
  <c r="G7" i="4"/>
  <c r="G19" i="4"/>
  <c r="U52" i="13"/>
  <c r="H19" i="4" l="1"/>
  <c r="H7" i="4"/>
  <c r="V52" i="13"/>
  <c r="I7" i="4" l="1"/>
  <c r="I19" i="4"/>
  <c r="W52" i="13"/>
  <c r="J19" i="4" l="1"/>
  <c r="J7" i="4"/>
  <c r="X52" i="13"/>
  <c r="K7" i="4" l="1"/>
  <c r="K19" i="4"/>
  <c r="Y52" i="13"/>
  <c r="L19" i="4" l="1"/>
  <c r="L7" i="4"/>
  <c r="Z52" i="13"/>
  <c r="N7" i="4" l="1"/>
  <c r="M7" i="4"/>
  <c r="Q4" i="2"/>
  <c r="M19" i="4"/>
  <c r="Q6" i="2"/>
  <c r="AA52" i="13"/>
  <c r="N19" i="4" l="1"/>
  <c r="B4" i="10"/>
  <c r="B5" i="10"/>
  <c r="B6" i="10"/>
  <c r="B7" i="10"/>
  <c r="B8" i="10"/>
  <c r="B9" i="10"/>
  <c r="B10" i="10"/>
  <c r="B11" i="10"/>
  <c r="B12" i="10"/>
  <c r="B13" i="10"/>
  <c r="B3" i="10"/>
  <c r="B24" i="9"/>
  <c r="B25" i="9" s="1"/>
  <c r="B26" i="9" s="1"/>
  <c r="B27" i="9" s="1"/>
  <c r="B28" i="9" s="1"/>
  <c r="B29" i="9" s="1"/>
  <c r="B30" i="9" s="1"/>
  <c r="B31" i="9" s="1"/>
  <c r="B32" i="9" s="1"/>
  <c r="B33" i="9" s="1"/>
  <c r="B3" i="8" a="1"/>
  <c r="B3" i="8" s="1"/>
  <c r="M4" i="8"/>
  <c r="M5" i="8" s="1"/>
  <c r="M6" i="8" s="1"/>
  <c r="M7" i="8" s="1"/>
  <c r="M8" i="8" s="1"/>
  <c r="M9" i="8" s="1"/>
  <c r="M10" i="8" s="1"/>
  <c r="M11" i="8" s="1"/>
  <c r="M12" i="8" s="1"/>
  <c r="M13" i="8" s="1"/>
  <c r="D12" i="2" l="1"/>
  <c r="E12" i="2" s="1"/>
  <c r="F12" i="2" s="1"/>
  <c r="G12" i="2" s="1"/>
  <c r="H12" i="2" s="1"/>
  <c r="I12" i="2" s="1"/>
  <c r="J12" i="2" s="1"/>
  <c r="K12" i="2" s="1"/>
  <c r="L12" i="2" s="1"/>
  <c r="M12" i="2" s="1"/>
  <c r="N12" i="2" s="1"/>
  <c r="C5" i="2"/>
  <c r="C20" i="1"/>
  <c r="D20" i="1" s="1"/>
  <c r="E20" i="1" s="1"/>
  <c r="F20" i="1" s="1"/>
  <c r="G20" i="1" s="1"/>
  <c r="H20" i="1" s="1"/>
  <c r="I20" i="1" s="1"/>
  <c r="J20" i="1" s="1"/>
  <c r="K20" i="1" s="1"/>
  <c r="L20" i="1" s="1"/>
  <c r="M20" i="1" s="1"/>
  <c r="N20" i="1" s="1"/>
  <c r="N22" i="5" s="1"/>
  <c r="E17" i="1"/>
  <c r="F17" i="1"/>
  <c r="G17" i="1"/>
  <c r="H17" i="1"/>
  <c r="I17" i="1"/>
  <c r="J17" i="1"/>
  <c r="K17" i="1"/>
  <c r="L17" i="1"/>
  <c r="M17" i="1"/>
  <c r="N17" i="1"/>
  <c r="O17" i="1"/>
  <c r="C17" i="1"/>
  <c r="C14" i="1"/>
  <c r="C5" i="1"/>
  <c r="G9" i="13"/>
  <c r="F9" i="13"/>
  <c r="E9" i="13"/>
  <c r="D9" i="13"/>
  <c r="C6" i="1"/>
  <c r="Q90" i="13"/>
  <c r="R90" i="13" s="1"/>
  <c r="S90" i="13" s="1"/>
  <c r="T90" i="13" s="1"/>
  <c r="U90" i="13" s="1"/>
  <c r="V90" i="13" s="1"/>
  <c r="W90" i="13" s="1"/>
  <c r="X90" i="13" s="1"/>
  <c r="Y90" i="13" s="1"/>
  <c r="Z90" i="13" s="1"/>
  <c r="AA90" i="13" s="1"/>
  <c r="L10" i="13"/>
  <c r="M10" i="13"/>
  <c r="N10" i="13"/>
  <c r="O10" i="13"/>
  <c r="K10" i="13"/>
  <c r="J10" i="13"/>
  <c r="Q6" i="13"/>
  <c r="R6" i="13" s="1"/>
  <c r="S6" i="13" s="1"/>
  <c r="T6" i="13" s="1"/>
  <c r="U6" i="13" s="1"/>
  <c r="V6" i="13" s="1"/>
  <c r="J6" i="13"/>
  <c r="X6" i="13"/>
  <c r="Y6" i="13" s="1"/>
  <c r="Z6" i="13" s="1"/>
  <c r="AA6" i="13" s="1"/>
  <c r="P2" i="13"/>
  <c r="Q2" i="13" s="1"/>
  <c r="R2" i="13" s="1"/>
  <c r="S2" i="13" s="1"/>
  <c r="T2" i="13" s="1"/>
  <c r="U2" i="13" s="1"/>
  <c r="V2" i="13" s="1"/>
  <c r="W2" i="13" s="1"/>
  <c r="X2" i="13" s="1"/>
  <c r="Y2" i="13" s="1"/>
  <c r="Z2" i="13" s="1"/>
  <c r="P10" i="13" l="1"/>
  <c r="E20" i="4"/>
  <c r="C5" i="3"/>
  <c r="E22" i="5"/>
  <c r="F22" i="5"/>
  <c r="H22" i="5"/>
  <c r="C21" i="1"/>
  <c r="D21" i="1" s="1"/>
  <c r="E21" i="1" s="1"/>
  <c r="G22" i="5"/>
  <c r="L22" i="5"/>
  <c r="M22" i="5"/>
  <c r="K22" i="5"/>
  <c r="J22" i="5"/>
  <c r="I22" i="5"/>
  <c r="Q51" i="13"/>
  <c r="E10" i="4"/>
  <c r="Q10" i="13"/>
  <c r="R10" i="13" s="1"/>
  <c r="S10" i="13" s="1"/>
  <c r="T10" i="13" s="1"/>
  <c r="U10" i="13" s="1"/>
  <c r="V10" i="13" s="1"/>
  <c r="W10" i="13" s="1"/>
  <c r="X10" i="13" s="1"/>
  <c r="Y10" i="13" s="1"/>
  <c r="Z10" i="13" s="1"/>
  <c r="AA10" i="13" s="1"/>
  <c r="F21" i="1" l="1"/>
  <c r="E23" i="5"/>
  <c r="E24" i="5" s="1"/>
  <c r="R51" i="13"/>
  <c r="F10" i="4"/>
  <c r="F20" i="4"/>
  <c r="F19" i="5" s="1"/>
  <c r="E14" i="11" s="1"/>
  <c r="G21" i="1" l="1"/>
  <c r="F23" i="5"/>
  <c r="F24" i="5" s="1"/>
  <c r="S51" i="13"/>
  <c r="E18" i="4"/>
  <c r="G10" i="4"/>
  <c r="G20" i="4"/>
  <c r="G19" i="5" s="1"/>
  <c r="F14" i="11" s="1"/>
  <c r="H21" i="1" l="1"/>
  <c r="G23" i="5"/>
  <c r="G24" i="5" s="1"/>
  <c r="T51" i="13"/>
  <c r="H10" i="4"/>
  <c r="F18" i="4"/>
  <c r="E21" i="4"/>
  <c r="H20" i="4"/>
  <c r="G18" i="4" l="1"/>
  <c r="G21" i="4" s="1"/>
  <c r="I21" i="1"/>
  <c r="H23" i="5"/>
  <c r="H24" i="5" s="1"/>
  <c r="U51" i="13"/>
  <c r="F21" i="4"/>
  <c r="F17" i="5"/>
  <c r="H19" i="5"/>
  <c r="G14" i="11" s="1"/>
  <c r="I10" i="4"/>
  <c r="G17" i="5" l="1"/>
  <c r="J21" i="1"/>
  <c r="I23" i="5"/>
  <c r="I24" i="5" s="1"/>
  <c r="V51" i="13"/>
  <c r="I20" i="4"/>
  <c r="H18" i="4"/>
  <c r="J10" i="4"/>
  <c r="J20" i="4"/>
  <c r="K21" i="1" l="1"/>
  <c r="J23" i="5"/>
  <c r="J24" i="5" s="1"/>
  <c r="W51" i="13"/>
  <c r="K10" i="4"/>
  <c r="J19" i="5"/>
  <c r="I14" i="11" s="1"/>
  <c r="I19" i="5"/>
  <c r="H14" i="11" s="1"/>
  <c r="H17" i="5"/>
  <c r="H21" i="4"/>
  <c r="I18" i="4"/>
  <c r="I17" i="5" s="1"/>
  <c r="K20" i="4"/>
  <c r="J18" i="4" l="1"/>
  <c r="J21" i="4" s="1"/>
  <c r="L21" i="1"/>
  <c r="K23" i="5"/>
  <c r="K24" i="5" s="1"/>
  <c r="X51" i="13"/>
  <c r="K19" i="5"/>
  <c r="J14" i="11" s="1"/>
  <c r="I21" i="4"/>
  <c r="L10" i="4"/>
  <c r="L20" i="4"/>
  <c r="J17" i="5" l="1"/>
  <c r="M21" i="1"/>
  <c r="L23" i="5"/>
  <c r="L24" i="5" s="1"/>
  <c r="Y51" i="13"/>
  <c r="M10" i="4"/>
  <c r="L19" i="5"/>
  <c r="K14" i="11" s="1"/>
  <c r="K18" i="4"/>
  <c r="M20" i="4"/>
  <c r="N21" i="1" l="1"/>
  <c r="N23" i="5" s="1"/>
  <c r="N24" i="5" s="1"/>
  <c r="M23" i="5"/>
  <c r="M24" i="5" s="1"/>
  <c r="Z51" i="13"/>
  <c r="L18" i="4"/>
  <c r="L17" i="5" s="1"/>
  <c r="K21" i="4"/>
  <c r="K17" i="5"/>
  <c r="M19" i="5"/>
  <c r="L14" i="11" s="1"/>
  <c r="Q5" i="2"/>
  <c r="Q7" i="2" s="1"/>
  <c r="AA51" i="13" l="1"/>
  <c r="M18" i="4"/>
  <c r="M17" i="5" s="1"/>
  <c r="L21" i="4"/>
  <c r="M21" i="4" l="1"/>
  <c r="H121" i="13" l="1"/>
  <c r="H115" i="13"/>
  <c r="C111" i="13"/>
  <c r="C104" i="13"/>
  <c r="C101" i="13"/>
  <c r="D104" i="13"/>
  <c r="E104" i="13"/>
  <c r="F104" i="13"/>
  <c r="G104" i="13"/>
  <c r="H101" i="13" s="1"/>
  <c r="D90" i="13"/>
  <c r="E90" i="13"/>
  <c r="F90" i="13"/>
  <c r="G90" i="13"/>
  <c r="H90" i="13"/>
  <c r="C90" i="13"/>
  <c r="D89" i="13"/>
  <c r="E89" i="13"/>
  <c r="F89" i="13"/>
  <c r="G89" i="13"/>
  <c r="H89" i="13"/>
  <c r="C89" i="13"/>
  <c r="C102" i="13" l="1"/>
  <c r="H102" i="13"/>
  <c r="C88" i="13"/>
  <c r="H6" i="13" l="1"/>
  <c r="O9" i="13" l="1"/>
  <c r="O64" i="13"/>
  <c r="O50" i="13"/>
  <c r="O8" i="13"/>
  <c r="O56" i="13"/>
  <c r="O59" i="13"/>
  <c r="C3" i="1"/>
  <c r="C3" i="2" s="1"/>
  <c r="N90" i="13"/>
  <c r="G101" i="13"/>
  <c r="G102" i="13" s="1"/>
  <c r="F101" i="13"/>
  <c r="F102" i="13" s="1"/>
  <c r="E101" i="13"/>
  <c r="E102" i="13" s="1"/>
  <c r="D101" i="13"/>
  <c r="D102" i="13" s="1"/>
  <c r="C4" i="2" l="1"/>
  <c r="D3" i="1"/>
  <c r="C7" i="1"/>
  <c r="C12" i="1" s="1"/>
  <c r="D111" i="13"/>
  <c r="C97" i="13"/>
  <c r="D3" i="2" l="1"/>
  <c r="D16" i="5"/>
  <c r="C13" i="4"/>
  <c r="C8" i="2"/>
  <c r="C3" i="4" s="1"/>
  <c r="O90" i="13"/>
  <c r="C10" i="2" s="1"/>
  <c r="D6" i="1" s="1"/>
  <c r="E3" i="1"/>
  <c r="E111" i="13"/>
  <c r="D97" i="13"/>
  <c r="C14" i="2" l="1"/>
  <c r="E3" i="2"/>
  <c r="E3" i="3"/>
  <c r="D10" i="2"/>
  <c r="E6" i="1" s="1"/>
  <c r="E6" i="3" s="1"/>
  <c r="F3" i="1"/>
  <c r="F111" i="13"/>
  <c r="E97" i="13"/>
  <c r="F3" i="2" l="1"/>
  <c r="F3" i="3"/>
  <c r="E4" i="5"/>
  <c r="E10" i="2"/>
  <c r="G3" i="1"/>
  <c r="H111" i="13"/>
  <c r="G111" i="13"/>
  <c r="F97" i="13"/>
  <c r="G97" i="13" s="1"/>
  <c r="G3" i="2" l="1"/>
  <c r="G3" i="3"/>
  <c r="F6" i="1"/>
  <c r="F6" i="3" s="1"/>
  <c r="E4" i="4"/>
  <c r="F10" i="2"/>
  <c r="H3" i="1"/>
  <c r="G136" i="13"/>
  <c r="F136" i="13"/>
  <c r="E136" i="13"/>
  <c r="D136" i="13"/>
  <c r="C136" i="13"/>
  <c r="G121" i="13"/>
  <c r="F121" i="13"/>
  <c r="E121" i="13"/>
  <c r="D121" i="13"/>
  <c r="C121" i="13"/>
  <c r="G115" i="13"/>
  <c r="F115" i="13"/>
  <c r="E115" i="13"/>
  <c r="D115" i="13"/>
  <c r="C115" i="13"/>
  <c r="H80" i="13"/>
  <c r="G70" i="13"/>
  <c r="F70" i="13"/>
  <c r="E70" i="13"/>
  <c r="D70" i="13"/>
  <c r="C70" i="13"/>
  <c r="G53" i="13"/>
  <c r="F53" i="13"/>
  <c r="E53" i="13"/>
  <c r="D53" i="13"/>
  <c r="C53" i="13"/>
  <c r="C42" i="13"/>
  <c r="H32" i="13"/>
  <c r="G32" i="13"/>
  <c r="F32" i="13"/>
  <c r="E32" i="13"/>
  <c r="D32" i="13"/>
  <c r="C32" i="13"/>
  <c r="G6" i="13"/>
  <c r="F6" i="13"/>
  <c r="E6" i="13"/>
  <c r="D6" i="13"/>
  <c r="K64" i="13" s="1"/>
  <c r="C6" i="13"/>
  <c r="J64" i="13" s="1"/>
  <c r="N9" i="13" l="1"/>
  <c r="N64" i="13"/>
  <c r="L9" i="13"/>
  <c r="L64" i="13"/>
  <c r="M9" i="13"/>
  <c r="M64" i="13"/>
  <c r="K9" i="13"/>
  <c r="K56" i="13"/>
  <c r="J8" i="13"/>
  <c r="J9" i="13"/>
  <c r="L8" i="13"/>
  <c r="L56" i="13"/>
  <c r="L59" i="13"/>
  <c r="M8" i="13"/>
  <c r="M56" i="13"/>
  <c r="M59" i="13"/>
  <c r="N8" i="13"/>
  <c r="N56" i="13"/>
  <c r="N59" i="13"/>
  <c r="K59" i="13"/>
  <c r="K8" i="13"/>
  <c r="J56" i="13"/>
  <c r="J50" i="13"/>
  <c r="J59" i="13"/>
  <c r="H3" i="2"/>
  <c r="H3" i="3"/>
  <c r="G6" i="1"/>
  <c r="G6" i="3" s="1"/>
  <c r="F4" i="4"/>
  <c r="F4" i="5"/>
  <c r="J90" i="13"/>
  <c r="K50" i="13"/>
  <c r="M90" i="13"/>
  <c r="N50" i="13"/>
  <c r="K90" i="13"/>
  <c r="L50" i="13"/>
  <c r="L90" i="13"/>
  <c r="M50" i="13"/>
  <c r="G10" i="2"/>
  <c r="I3" i="1"/>
  <c r="G11" i="13"/>
  <c r="G16" i="13" s="1"/>
  <c r="N18" i="13" s="1"/>
  <c r="N6" i="13"/>
  <c r="O6" i="13"/>
  <c r="M6" i="13"/>
  <c r="K6" i="13"/>
  <c r="L6" i="13"/>
  <c r="F76" i="13"/>
  <c r="D11" i="13"/>
  <c r="D16" i="13" s="1"/>
  <c r="K18" i="13" s="1"/>
  <c r="G76" i="13"/>
  <c r="F60" i="13"/>
  <c r="D76" i="13"/>
  <c r="E76" i="13"/>
  <c r="C60" i="13"/>
  <c r="H53" i="13"/>
  <c r="H60" i="13" s="1"/>
  <c r="D60" i="13"/>
  <c r="C11" i="13"/>
  <c r="C16" i="13" s="1"/>
  <c r="J18" i="13" s="1"/>
  <c r="E60" i="13"/>
  <c r="C76" i="13"/>
  <c r="G60" i="13"/>
  <c r="E11" i="13"/>
  <c r="E16" i="13" s="1"/>
  <c r="L18" i="13" s="1"/>
  <c r="F11" i="13"/>
  <c r="F16" i="13" s="1"/>
  <c r="M18" i="13" s="1"/>
  <c r="P8" i="13" l="1"/>
  <c r="Q8" i="13" s="1"/>
  <c r="P50" i="13"/>
  <c r="Q50" i="13" s="1"/>
  <c r="P59" i="13"/>
  <c r="P9" i="13"/>
  <c r="P56" i="13"/>
  <c r="I3" i="2"/>
  <c r="I3" i="3"/>
  <c r="F8" i="5"/>
  <c r="H6" i="1"/>
  <c r="H6" i="3" s="1"/>
  <c r="G4" i="4"/>
  <c r="G4" i="5"/>
  <c r="G109" i="13"/>
  <c r="G108" i="13" s="1"/>
  <c r="C109" i="13"/>
  <c r="C108" i="13" s="1"/>
  <c r="F109" i="13"/>
  <c r="F108" i="13" s="1"/>
  <c r="D109" i="13"/>
  <c r="D108" i="13" s="1"/>
  <c r="E109" i="13"/>
  <c r="E108" i="13" s="1"/>
  <c r="H10" i="2"/>
  <c r="J3" i="1"/>
  <c r="D86" i="13"/>
  <c r="D88" i="13" s="1"/>
  <c r="C19" i="13"/>
  <c r="C22" i="13" s="1"/>
  <c r="D19" i="13"/>
  <c r="D22" i="13" s="1"/>
  <c r="E19" i="13"/>
  <c r="E22" i="13" s="1"/>
  <c r="E28" i="13" s="1"/>
  <c r="E34" i="13" s="1"/>
  <c r="F19" i="13"/>
  <c r="F22" i="13" s="1"/>
  <c r="F28" i="13" s="1"/>
  <c r="F34" i="13" s="1"/>
  <c r="G19" i="13"/>
  <c r="G22" i="13" s="1"/>
  <c r="G28" i="13" s="1"/>
  <c r="G34" i="13" s="1"/>
  <c r="D4" i="1" l="1"/>
  <c r="C116" i="13"/>
  <c r="Q59" i="13"/>
  <c r="D13" i="2"/>
  <c r="D5" i="2"/>
  <c r="D7" i="2"/>
  <c r="D6" i="2"/>
  <c r="R8" i="13"/>
  <c r="E4" i="1"/>
  <c r="D116" i="13"/>
  <c r="D122" i="13" s="1"/>
  <c r="E116" i="13"/>
  <c r="E122" i="13" s="1"/>
  <c r="G116" i="13"/>
  <c r="G122" i="13" s="1"/>
  <c r="Q56" i="13"/>
  <c r="D11" i="2"/>
  <c r="Q9" i="13"/>
  <c r="D5" i="1"/>
  <c r="D5" i="3" s="1"/>
  <c r="J3" i="2"/>
  <c r="J3" i="3"/>
  <c r="G8" i="5"/>
  <c r="I6" i="1"/>
  <c r="I6" i="3" s="1"/>
  <c r="H4" i="4"/>
  <c r="H4" i="5"/>
  <c r="R50" i="13"/>
  <c r="E5" i="2"/>
  <c r="F116" i="13"/>
  <c r="F122" i="13" s="1"/>
  <c r="I10" i="2"/>
  <c r="K3" i="1"/>
  <c r="D28" i="13"/>
  <c r="D34" i="13" s="1"/>
  <c r="C28" i="13"/>
  <c r="C34" i="13" s="1"/>
  <c r="C44" i="13" s="1"/>
  <c r="D26" i="13" s="1"/>
  <c r="E86" i="13"/>
  <c r="H11" i="13"/>
  <c r="H16" i="13" s="1"/>
  <c r="O18" i="13" s="1"/>
  <c r="D7" i="1" l="1"/>
  <c r="E7" i="2"/>
  <c r="E6" i="2"/>
  <c r="E4" i="3"/>
  <c r="H76" i="13"/>
  <c r="D5" i="4"/>
  <c r="R56" i="13"/>
  <c r="E11" i="2"/>
  <c r="D8" i="2"/>
  <c r="S8" i="13"/>
  <c r="F4" i="1"/>
  <c r="R9" i="13"/>
  <c r="E5" i="1"/>
  <c r="E5" i="3" s="1"/>
  <c r="D6" i="4"/>
  <c r="R59" i="13"/>
  <c r="E13" i="2"/>
  <c r="K3" i="2"/>
  <c r="K3" i="3"/>
  <c r="H8" i="5"/>
  <c r="J6" i="1"/>
  <c r="J6" i="3" s="1"/>
  <c r="I4" i="4"/>
  <c r="I4" i="5"/>
  <c r="D44" i="13"/>
  <c r="E26" i="13" s="1"/>
  <c r="E44" i="13" s="1"/>
  <c r="S50" i="13"/>
  <c r="F5" i="2"/>
  <c r="H109" i="13"/>
  <c r="H108" i="13" s="1"/>
  <c r="J10" i="2"/>
  <c r="L3" i="1"/>
  <c r="C79" i="13"/>
  <c r="C81" i="13" s="1"/>
  <c r="C82" i="13" s="1"/>
  <c r="C122" i="13"/>
  <c r="F86" i="13"/>
  <c r="E88" i="13"/>
  <c r="H19" i="13"/>
  <c r="H22" i="13" s="1"/>
  <c r="H28" i="13" s="1"/>
  <c r="H34" i="13" s="1"/>
  <c r="D79" i="13" l="1"/>
  <c r="D81" i="13" s="1"/>
  <c r="D82" i="13" s="1"/>
  <c r="E8" i="2"/>
  <c r="E3" i="4" s="1"/>
  <c r="P18" i="13"/>
  <c r="Q18" i="13" s="1"/>
  <c r="D14" i="2"/>
  <c r="D3" i="4"/>
  <c r="E20" i="7"/>
  <c r="E6" i="4"/>
  <c r="D21" i="2"/>
  <c r="T8" i="13"/>
  <c r="G4" i="1"/>
  <c r="E7" i="3"/>
  <c r="S9" i="13"/>
  <c r="F5" i="1"/>
  <c r="F5" i="3" s="1"/>
  <c r="F7" i="2"/>
  <c r="F6" i="2"/>
  <c r="F4" i="3"/>
  <c r="E5" i="4"/>
  <c r="E7" i="1"/>
  <c r="S59" i="13"/>
  <c r="F13" i="2"/>
  <c r="S56" i="13"/>
  <c r="F11" i="2"/>
  <c r="L3" i="2"/>
  <c r="L3" i="3"/>
  <c r="I8" i="5"/>
  <c r="K6" i="1"/>
  <c r="K6" i="3" s="1"/>
  <c r="J4" i="4"/>
  <c r="J4" i="5"/>
  <c r="T50" i="13"/>
  <c r="G5" i="2"/>
  <c r="H116" i="13"/>
  <c r="H122" i="13" s="1"/>
  <c r="K10" i="2"/>
  <c r="M3" i="1"/>
  <c r="G86" i="13"/>
  <c r="F88" i="13"/>
  <c r="F26" i="13"/>
  <c r="F44" i="13" s="1"/>
  <c r="E79" i="13"/>
  <c r="E81" i="13" s="1"/>
  <c r="E82" i="13" s="1"/>
  <c r="F3" i="10" l="1"/>
  <c r="F4" i="10" s="1"/>
  <c r="F5" i="10" s="1"/>
  <c r="F6" i="10" s="1"/>
  <c r="F7" i="10" s="1"/>
  <c r="F8" i="10" s="1"/>
  <c r="F9" i="10" s="1"/>
  <c r="F10" i="10" s="1"/>
  <c r="F11" i="10" s="1"/>
  <c r="F12" i="10" s="1"/>
  <c r="F13" i="10" s="1"/>
  <c r="F14" i="10" s="1"/>
  <c r="E14" i="2"/>
  <c r="E8" i="4"/>
  <c r="F8" i="2"/>
  <c r="F7" i="3"/>
  <c r="F7" i="1"/>
  <c r="U8" i="13"/>
  <c r="H4" i="1"/>
  <c r="F5" i="4"/>
  <c r="T9" i="13"/>
  <c r="G5" i="1"/>
  <c r="G5" i="3" s="1"/>
  <c r="T56" i="13"/>
  <c r="G11" i="2"/>
  <c r="F21" i="2"/>
  <c r="F6" i="4"/>
  <c r="G7" i="2"/>
  <c r="G6" i="2"/>
  <c r="G4" i="3"/>
  <c r="T59" i="13"/>
  <c r="G13" i="2"/>
  <c r="M3" i="2"/>
  <c r="M3" i="3"/>
  <c r="L6" i="1"/>
  <c r="L6" i="3" s="1"/>
  <c r="K4" i="4"/>
  <c r="J8" i="5"/>
  <c r="K4" i="5"/>
  <c r="U50" i="13"/>
  <c r="H5" i="2"/>
  <c r="R18" i="13"/>
  <c r="L10" i="2"/>
  <c r="N3" i="1"/>
  <c r="H86" i="13"/>
  <c r="H88" i="13" s="1"/>
  <c r="G88" i="13"/>
  <c r="G26" i="13"/>
  <c r="G44" i="13" s="1"/>
  <c r="F79" i="13"/>
  <c r="F81" i="13" s="1"/>
  <c r="F82" i="13" s="1"/>
  <c r="C4" i="11"/>
  <c r="C11" i="7"/>
  <c r="C7" i="12"/>
  <c r="F7" i="12" s="1"/>
  <c r="C8" i="3" l="1"/>
  <c r="C16" i="3" s="1"/>
  <c r="C17" i="3" s="1"/>
  <c r="D8" i="3"/>
  <c r="E8" i="3"/>
  <c r="E9" i="3" s="1"/>
  <c r="E11" i="3" s="1"/>
  <c r="E12" i="3" s="1"/>
  <c r="D14" i="9" s="1"/>
  <c r="F8" i="3"/>
  <c r="F9" i="3" s="1"/>
  <c r="F11" i="3" s="1"/>
  <c r="F12" i="3" s="1"/>
  <c r="G8" i="3"/>
  <c r="H8" i="3"/>
  <c r="I8" i="3"/>
  <c r="J8" i="3"/>
  <c r="K8" i="3"/>
  <c r="L8" i="3"/>
  <c r="M8" i="3"/>
  <c r="N8" i="3"/>
  <c r="O8" i="3"/>
  <c r="D20" i="7"/>
  <c r="C5" i="12" s="1"/>
  <c r="D5" i="12" s="1"/>
  <c r="E5" i="12" s="1"/>
  <c r="D9" i="1"/>
  <c r="E9" i="1"/>
  <c r="F9" i="1"/>
  <c r="F12" i="1" s="1"/>
  <c r="F14" i="1" s="1"/>
  <c r="F15" i="1" s="1"/>
  <c r="E3" i="11" s="1"/>
  <c r="E5" i="11" s="1"/>
  <c r="G9" i="1"/>
  <c r="H9" i="1"/>
  <c r="I9" i="1"/>
  <c r="J9" i="1"/>
  <c r="K9" i="1"/>
  <c r="L9" i="1"/>
  <c r="M9" i="1"/>
  <c r="N9" i="1"/>
  <c r="O9" i="1"/>
  <c r="F14" i="2"/>
  <c r="F3" i="4"/>
  <c r="E11" i="4"/>
  <c r="E15" i="4" s="1"/>
  <c r="E21" i="2"/>
  <c r="G8" i="2"/>
  <c r="G6" i="4"/>
  <c r="U9" i="13"/>
  <c r="H5" i="1"/>
  <c r="H5" i="3" s="1"/>
  <c r="G7" i="3"/>
  <c r="U59" i="13"/>
  <c r="H13" i="2"/>
  <c r="G21" i="2"/>
  <c r="N3" i="2"/>
  <c r="G7" i="1"/>
  <c r="G5" i="4"/>
  <c r="U56" i="13"/>
  <c r="H11" i="2"/>
  <c r="H7" i="2"/>
  <c r="H6" i="2"/>
  <c r="H4" i="3"/>
  <c r="V8" i="13"/>
  <c r="I4" i="1"/>
  <c r="M6" i="1"/>
  <c r="L4" i="4"/>
  <c r="K8" i="5"/>
  <c r="L4" i="5"/>
  <c r="V50" i="13"/>
  <c r="I5" i="2"/>
  <c r="S18" i="13"/>
  <c r="M10" i="2"/>
  <c r="O3" i="1"/>
  <c r="H26" i="13"/>
  <c r="C18" i="1" s="1"/>
  <c r="G79" i="13"/>
  <c r="G81" i="13" s="1"/>
  <c r="G82" i="13" s="1"/>
  <c r="D7" i="12"/>
  <c r="E7" i="12" s="1"/>
  <c r="C20" i="11"/>
  <c r="C19" i="11"/>
  <c r="C21" i="11" s="1"/>
  <c r="F5" i="12" l="1"/>
  <c r="F6" i="12" s="1"/>
  <c r="L16" i="3"/>
  <c r="L14" i="5" s="1"/>
  <c r="G9" i="3"/>
  <c r="G11" i="3" s="1"/>
  <c r="G12" i="3" s="1"/>
  <c r="G12" i="1"/>
  <c r="G14" i="1" s="1"/>
  <c r="G15" i="1" s="1"/>
  <c r="F3" i="11" s="1"/>
  <c r="F5" i="11" s="1"/>
  <c r="J16" i="3"/>
  <c r="J14" i="5" s="1"/>
  <c r="K16" i="3"/>
  <c r="K14" i="5" s="1"/>
  <c r="D16" i="3"/>
  <c r="D12" i="1"/>
  <c r="D14" i="1" s="1"/>
  <c r="E3" i="5"/>
  <c r="E5" i="5" s="1"/>
  <c r="I16" i="3"/>
  <c r="I14" i="5" s="1"/>
  <c r="O16" i="3"/>
  <c r="G16" i="3"/>
  <c r="G14" i="5" s="1"/>
  <c r="H16" i="3"/>
  <c r="H14" i="5" s="1"/>
  <c r="N16" i="3"/>
  <c r="F16" i="3"/>
  <c r="D6" i="12"/>
  <c r="M16" i="3"/>
  <c r="M14" i="5" s="1"/>
  <c r="E16" i="3"/>
  <c r="E12" i="1"/>
  <c r="E14" i="1" s="1"/>
  <c r="E15" i="1" s="1"/>
  <c r="D3" i="11" s="1"/>
  <c r="D5" i="11" s="1"/>
  <c r="F8" i="4"/>
  <c r="F7" i="9" s="1"/>
  <c r="F11" i="9" s="1"/>
  <c r="G14" i="2"/>
  <c r="G3" i="4"/>
  <c r="E7" i="9"/>
  <c r="E11" i="9" s="1"/>
  <c r="H7" i="1"/>
  <c r="H12" i="1" s="1"/>
  <c r="H8" i="2"/>
  <c r="F7" i="5"/>
  <c r="E7" i="11" s="1"/>
  <c r="E15" i="11" s="1"/>
  <c r="H7" i="3"/>
  <c r="H9" i="3" s="1"/>
  <c r="H5" i="4"/>
  <c r="H6" i="4"/>
  <c r="I7" i="2"/>
  <c r="I6" i="2"/>
  <c r="I4" i="3"/>
  <c r="V56" i="13"/>
  <c r="I11" i="2"/>
  <c r="V9" i="13"/>
  <c r="I5" i="1"/>
  <c r="I5" i="3" s="1"/>
  <c r="W8" i="13"/>
  <c r="J4" i="1"/>
  <c r="V59" i="13"/>
  <c r="I13" i="2"/>
  <c r="H21" i="2"/>
  <c r="L8" i="5"/>
  <c r="M6" i="3"/>
  <c r="N6" i="1"/>
  <c r="M4" i="4"/>
  <c r="F19" i="1"/>
  <c r="F15" i="3"/>
  <c r="E4" i="9"/>
  <c r="E20" i="9"/>
  <c r="E14" i="9"/>
  <c r="F3" i="5"/>
  <c r="F5" i="5" s="1"/>
  <c r="W50" i="13"/>
  <c r="J5" i="2"/>
  <c r="T18" i="13"/>
  <c r="H44" i="13"/>
  <c r="H79" i="13" s="1"/>
  <c r="H81" i="13" s="1"/>
  <c r="H82" i="13" s="1"/>
  <c r="N10" i="2"/>
  <c r="O6" i="1" s="1"/>
  <c r="E24" i="11" l="1"/>
  <c r="G17" i="3"/>
  <c r="G15" i="5" s="1"/>
  <c r="G20" i="5" s="1"/>
  <c r="G26" i="5" s="1"/>
  <c r="E15" i="3"/>
  <c r="E19" i="1"/>
  <c r="E14" i="5"/>
  <c r="E17" i="3"/>
  <c r="E15" i="5" s="1"/>
  <c r="F14" i="5"/>
  <c r="F17" i="3"/>
  <c r="F15" i="5" s="1"/>
  <c r="F11" i="4"/>
  <c r="F15" i="4" s="1"/>
  <c r="H11" i="3"/>
  <c r="H12" i="3" s="1"/>
  <c r="G8" i="4"/>
  <c r="G7" i="9" s="1"/>
  <c r="G11" i="9" s="1"/>
  <c r="H14" i="2"/>
  <c r="H3" i="4"/>
  <c r="G7" i="5"/>
  <c r="F7" i="11" s="1"/>
  <c r="F15" i="11" s="1"/>
  <c r="I8" i="2"/>
  <c r="I3" i="4" s="1"/>
  <c r="I6" i="4"/>
  <c r="I7" i="1"/>
  <c r="I12" i="1" s="1"/>
  <c r="I5" i="4"/>
  <c r="I21" i="2"/>
  <c r="W56" i="13"/>
  <c r="J11" i="2"/>
  <c r="W59" i="13"/>
  <c r="J13" i="2"/>
  <c r="I7" i="3"/>
  <c r="I9" i="3" s="1"/>
  <c r="J7" i="2"/>
  <c r="J6" i="2"/>
  <c r="J4" i="3"/>
  <c r="W9" i="13"/>
  <c r="J5" i="1"/>
  <c r="J5" i="3" s="1"/>
  <c r="X8" i="13"/>
  <c r="K4" i="1"/>
  <c r="F11" i="5"/>
  <c r="M4" i="5"/>
  <c r="M8" i="5" s="1"/>
  <c r="F4" i="9"/>
  <c r="F14" i="9"/>
  <c r="G3" i="5"/>
  <c r="G5" i="5" s="1"/>
  <c r="G19" i="1"/>
  <c r="G15" i="3"/>
  <c r="G18" i="3" s="1"/>
  <c r="G20" i="3" s="1"/>
  <c r="H17" i="3"/>
  <c r="H15" i="5" s="1"/>
  <c r="H20" i="5" s="1"/>
  <c r="H26" i="5" s="1"/>
  <c r="X50" i="13"/>
  <c r="K5" i="2"/>
  <c r="U18" i="13"/>
  <c r="H14" i="1"/>
  <c r="H15" i="1" s="1"/>
  <c r="G3" i="11" s="1"/>
  <c r="G5" i="11" s="1"/>
  <c r="D23" i="5"/>
  <c r="D22" i="5"/>
  <c r="D20" i="4"/>
  <c r="E19" i="5" s="1"/>
  <c r="D14" i="11" s="1"/>
  <c r="N20" i="4"/>
  <c r="N19" i="5" s="1"/>
  <c r="M14" i="11" s="1"/>
  <c r="C20" i="4"/>
  <c r="D18" i="4"/>
  <c r="E17" i="5" s="1"/>
  <c r="N18" i="4"/>
  <c r="N17" i="5" s="1"/>
  <c r="C18" i="4"/>
  <c r="D10" i="4"/>
  <c r="N10" i="4"/>
  <c r="C10" i="4"/>
  <c r="N4" i="4"/>
  <c r="D4" i="4"/>
  <c r="D8" i="4" s="1"/>
  <c r="C4" i="4"/>
  <c r="C8" i="4" s="1"/>
  <c r="N14" i="5"/>
  <c r="O17" i="3"/>
  <c r="D6" i="3"/>
  <c r="D4" i="5" s="1"/>
  <c r="N6" i="3"/>
  <c r="N4" i="5" s="1"/>
  <c r="O6" i="3"/>
  <c r="C6" i="3"/>
  <c r="D4" i="3"/>
  <c r="C4" i="3"/>
  <c r="N3" i="3"/>
  <c r="O3" i="3"/>
  <c r="D3" i="3"/>
  <c r="C3" i="3"/>
  <c r="F24" i="11" l="1"/>
  <c r="C21" i="4"/>
  <c r="P23" i="8" s="1"/>
  <c r="F20" i="5"/>
  <c r="F26" i="5" s="1"/>
  <c r="F28" i="5" s="1"/>
  <c r="I8" i="4"/>
  <c r="F18" i="3"/>
  <c r="F20" i="3" s="1"/>
  <c r="E18" i="3"/>
  <c r="E20" i="3" s="1"/>
  <c r="F20" i="9"/>
  <c r="G11" i="4"/>
  <c r="G15" i="4" s="1"/>
  <c r="I11" i="3"/>
  <c r="I12" i="3" s="1"/>
  <c r="J8" i="2"/>
  <c r="J3" i="4" s="1"/>
  <c r="H8" i="4"/>
  <c r="H7" i="9" s="1"/>
  <c r="H11" i="9" s="1"/>
  <c r="H7" i="5"/>
  <c r="G7" i="11" s="1"/>
  <c r="G15" i="11" s="1"/>
  <c r="I7" i="5"/>
  <c r="H7" i="11" s="1"/>
  <c r="J7" i="3"/>
  <c r="J9" i="3" s="1"/>
  <c r="I14" i="2"/>
  <c r="C11" i="4"/>
  <c r="J7" i="1"/>
  <c r="J12" i="1" s="1"/>
  <c r="X56" i="13"/>
  <c r="K11" i="2"/>
  <c r="K7" i="2"/>
  <c r="K6" i="2"/>
  <c r="K4" i="3"/>
  <c r="Y8" i="13"/>
  <c r="L4" i="1"/>
  <c r="J6" i="4"/>
  <c r="X59" i="13"/>
  <c r="K13" i="2"/>
  <c r="X9" i="13"/>
  <c r="K5" i="1"/>
  <c r="K5" i="3" s="1"/>
  <c r="J5" i="4"/>
  <c r="G11" i="5"/>
  <c r="G28" i="5" s="1"/>
  <c r="E20" i="5"/>
  <c r="E26" i="5" s="1"/>
  <c r="D8" i="5"/>
  <c r="C8" i="11" s="1"/>
  <c r="E8" i="5"/>
  <c r="N8" i="5"/>
  <c r="I17" i="3"/>
  <c r="H19" i="1"/>
  <c r="H15" i="3"/>
  <c r="H18" i="3" s="1"/>
  <c r="H20" i="3" s="1"/>
  <c r="G4" i="9"/>
  <c r="G14" i="9"/>
  <c r="H3" i="5"/>
  <c r="H5" i="5" s="1"/>
  <c r="N17" i="3"/>
  <c r="N15" i="5" s="1"/>
  <c r="N20" i="5" s="1"/>
  <c r="N26" i="5" s="1"/>
  <c r="D14" i="5"/>
  <c r="D17" i="3"/>
  <c r="D15" i="5" s="1"/>
  <c r="Y50" i="13"/>
  <c r="L5" i="2"/>
  <c r="V18" i="13"/>
  <c r="I14" i="1"/>
  <c r="I15" i="1" s="1"/>
  <c r="H3" i="11" s="1"/>
  <c r="H5" i="11" s="1"/>
  <c r="H45" i="9"/>
  <c r="D19" i="5"/>
  <c r="C14" i="11" s="1"/>
  <c r="D21" i="4"/>
  <c r="N21" i="4"/>
  <c r="D17" i="5"/>
  <c r="C12" i="11" s="1"/>
  <c r="B45" i="9"/>
  <c r="F11" i="7" a="1"/>
  <c r="F11" i="7" s="1"/>
  <c r="F20" i="7"/>
  <c r="F5" i="7" a="1"/>
  <c r="F5" i="7" s="1"/>
  <c r="C5" i="7" a="1"/>
  <c r="C5" i="7" s="1"/>
  <c r="F2" i="7" a="1"/>
  <c r="F2" i="7" s="1"/>
  <c r="E2" i="7" a="1"/>
  <c r="E2" i="7" s="1"/>
  <c r="G24" i="11" l="1"/>
  <c r="H15" i="11"/>
  <c r="D16" i="7"/>
  <c r="F7" i="7"/>
  <c r="F9" i="7" s="1"/>
  <c r="K16" i="7" s="1"/>
  <c r="M16" i="7" s="1"/>
  <c r="D20" i="5"/>
  <c r="G20" i="9"/>
  <c r="J14" i="2"/>
  <c r="H11" i="4"/>
  <c r="H15" i="4" s="1"/>
  <c r="J11" i="3"/>
  <c r="J12" i="3" s="1"/>
  <c r="J8" i="4"/>
  <c r="J11" i="4" s="1"/>
  <c r="J15" i="4" s="1"/>
  <c r="J21" i="2"/>
  <c r="I11" i="4"/>
  <c r="I15" i="4" s="1"/>
  <c r="K8" i="2"/>
  <c r="Y9" i="13"/>
  <c r="L5" i="1"/>
  <c r="L5" i="3" s="1"/>
  <c r="K6" i="4"/>
  <c r="Y59" i="13"/>
  <c r="L13" i="2"/>
  <c r="K21" i="2"/>
  <c r="K7" i="3"/>
  <c r="K9" i="3" s="1"/>
  <c r="L7" i="2"/>
  <c r="L6" i="2"/>
  <c r="L4" i="3"/>
  <c r="K5" i="4"/>
  <c r="K7" i="1"/>
  <c r="K12" i="1" s="1"/>
  <c r="Z8" i="13"/>
  <c r="M4" i="1"/>
  <c r="Y56" i="13"/>
  <c r="L11" i="2"/>
  <c r="H11" i="5"/>
  <c r="H28" i="5" s="1"/>
  <c r="C3" i="10" a="1"/>
  <c r="C3" i="10" s="1"/>
  <c r="J17" i="3"/>
  <c r="J15" i="5" s="1"/>
  <c r="J20" i="5" s="1"/>
  <c r="J26" i="5" s="1"/>
  <c r="H4" i="9"/>
  <c r="H14" i="9"/>
  <c r="I3" i="5"/>
  <c r="I5" i="5" s="1"/>
  <c r="I11" i="5" s="1"/>
  <c r="I19" i="1"/>
  <c r="I15" i="3"/>
  <c r="I18" i="3" s="1"/>
  <c r="I20" i="3" s="1"/>
  <c r="I15" i="5"/>
  <c r="I20" i="5" s="1"/>
  <c r="I26" i="5" s="1"/>
  <c r="C6" i="7"/>
  <c r="P26" i="8"/>
  <c r="G43" i="10" s="1"/>
  <c r="Z50" i="13"/>
  <c r="M5" i="2"/>
  <c r="W18" i="13"/>
  <c r="J14" i="1"/>
  <c r="J15" i="1" s="1"/>
  <c r="I3" i="11" s="1"/>
  <c r="I5" i="11" s="1"/>
  <c r="H24" i="11" l="1"/>
  <c r="C4" i="12"/>
  <c r="F4" i="12" s="1"/>
  <c r="F16" i="7"/>
  <c r="C15" i="7"/>
  <c r="H20" i="9"/>
  <c r="K11" i="3"/>
  <c r="K12" i="3" s="1"/>
  <c r="K14" i="2"/>
  <c r="K3" i="4"/>
  <c r="J7" i="5"/>
  <c r="I7" i="11" s="1"/>
  <c r="I15" i="11" s="1"/>
  <c r="I7" i="9"/>
  <c r="I11" i="9" s="1"/>
  <c r="J7" i="9"/>
  <c r="J11" i="9" s="1"/>
  <c r="L7" i="1"/>
  <c r="L12" i="1" s="1"/>
  <c r="L8" i="2"/>
  <c r="L5" i="4"/>
  <c r="L7" i="3"/>
  <c r="L9" i="3" s="1"/>
  <c r="L6" i="4"/>
  <c r="Z56" i="13"/>
  <c r="M11" i="2"/>
  <c r="Z59" i="13"/>
  <c r="M13" i="2"/>
  <c r="L21" i="2"/>
  <c r="M7" i="2"/>
  <c r="M6" i="2"/>
  <c r="M4" i="3"/>
  <c r="AA8" i="13"/>
  <c r="O4" i="1" s="1"/>
  <c r="N4" i="1"/>
  <c r="Z9" i="13"/>
  <c r="M5" i="1"/>
  <c r="M5" i="3" s="1"/>
  <c r="C8" i="7"/>
  <c r="C20" i="7" s="1"/>
  <c r="J19" i="1"/>
  <c r="J15" i="3"/>
  <c r="J18" i="3" s="1"/>
  <c r="J20" i="3" s="1"/>
  <c r="I28" i="5"/>
  <c r="K17" i="3"/>
  <c r="I14" i="9"/>
  <c r="I20" i="9"/>
  <c r="I4" i="9"/>
  <c r="J3" i="5"/>
  <c r="J5" i="5" s="1"/>
  <c r="E53" i="11"/>
  <c r="H48" i="9"/>
  <c r="AA50" i="13"/>
  <c r="N5" i="2"/>
  <c r="X18" i="13"/>
  <c r="K14" i="1"/>
  <c r="K15" i="1" s="1"/>
  <c r="J3" i="11" s="1"/>
  <c r="J5" i="11" s="1"/>
  <c r="I24" i="11" l="1"/>
  <c r="J15" i="7"/>
  <c r="D4" i="12"/>
  <c r="E4" i="12" s="1"/>
  <c r="J17" i="7"/>
  <c r="J16" i="7"/>
  <c r="N16" i="7" s="1"/>
  <c r="N15" i="7"/>
  <c r="N17" i="7" s="1"/>
  <c r="M17" i="7" s="1"/>
  <c r="Q12" i="2"/>
  <c r="C21" i="7"/>
  <c r="C22" i="7" s="1"/>
  <c r="G20" i="7"/>
  <c r="G15" i="7"/>
  <c r="C8" i="12"/>
  <c r="F8" i="12" s="1"/>
  <c r="F10" i="12" s="1"/>
  <c r="C16" i="7"/>
  <c r="D17" i="7" s="1"/>
  <c r="D22" i="7" s="1"/>
  <c r="L11" i="3"/>
  <c r="L12" i="3" s="1"/>
  <c r="K8" i="4"/>
  <c r="K11" i="4" s="1"/>
  <c r="K15" i="4" s="1"/>
  <c r="L14" i="2"/>
  <c r="L3" i="4"/>
  <c r="K7" i="5"/>
  <c r="J7" i="11" s="1"/>
  <c r="J15" i="11" s="1"/>
  <c r="M7" i="3"/>
  <c r="M9" i="3" s="1"/>
  <c r="M8" i="2"/>
  <c r="M3" i="4" s="1"/>
  <c r="M7" i="1"/>
  <c r="M12" i="1" s="1"/>
  <c r="M5" i="4"/>
  <c r="O4" i="3"/>
  <c r="AA56" i="13"/>
  <c r="N11" i="2"/>
  <c r="AA59" i="13"/>
  <c r="N13" i="2"/>
  <c r="AA9" i="13"/>
  <c r="O5" i="1" s="1"/>
  <c r="O5" i="3" s="1"/>
  <c r="N5" i="1"/>
  <c r="N5" i="3" s="1"/>
  <c r="M21" i="2"/>
  <c r="N7" i="2"/>
  <c r="N6" i="2"/>
  <c r="N4" i="3"/>
  <c r="M6" i="4"/>
  <c r="J11" i="5"/>
  <c r="J28" i="5" s="1"/>
  <c r="K15" i="5"/>
  <c r="K20" i="5" s="1"/>
  <c r="K26" i="5" s="1"/>
  <c r="J20" i="9"/>
  <c r="J14" i="9"/>
  <c r="J4" i="9"/>
  <c r="K3" i="5"/>
  <c r="K5" i="5" s="1"/>
  <c r="K19" i="1"/>
  <c r="K15" i="3"/>
  <c r="K18" i="3" s="1"/>
  <c r="K20" i="3" s="1"/>
  <c r="L17" i="3"/>
  <c r="Y18" i="13"/>
  <c r="L14" i="1"/>
  <c r="L15" i="1" s="1"/>
  <c r="K3" i="11" s="1"/>
  <c r="K5" i="11" s="1"/>
  <c r="J24" i="11" l="1"/>
  <c r="K17" i="7"/>
  <c r="D21" i="7"/>
  <c r="F21" i="7"/>
  <c r="G21" i="7" s="1"/>
  <c r="G22" i="7" s="1"/>
  <c r="C23" i="8" s="1"/>
  <c r="P17" i="8" s="1"/>
  <c r="G16" i="7"/>
  <c r="G17" i="7" s="1"/>
  <c r="F17" i="7" s="1"/>
  <c r="C9" i="12"/>
  <c r="F9" i="12" s="1"/>
  <c r="F13" i="12" s="1"/>
  <c r="D8" i="12"/>
  <c r="C17" i="7"/>
  <c r="K7" i="9"/>
  <c r="K11" i="9" s="1"/>
  <c r="L7" i="5"/>
  <c r="K7" i="11" s="1"/>
  <c r="K15" i="11" s="1"/>
  <c r="L8" i="4"/>
  <c r="L11" i="4" s="1"/>
  <c r="L15" i="4" s="1"/>
  <c r="M11" i="3"/>
  <c r="M12" i="3" s="1"/>
  <c r="M8" i="4"/>
  <c r="K11" i="5"/>
  <c r="K28" i="5" s="1"/>
  <c r="M7" i="5"/>
  <c r="L7" i="11" s="1"/>
  <c r="M14" i="2"/>
  <c r="N8" i="2"/>
  <c r="N7" i="1"/>
  <c r="N12" i="1" s="1"/>
  <c r="N21" i="2"/>
  <c r="O7" i="1"/>
  <c r="O12" i="1" s="1"/>
  <c r="N5" i="4"/>
  <c r="N6" i="4"/>
  <c r="K4" i="9"/>
  <c r="K20" i="9"/>
  <c r="K14" i="9"/>
  <c r="L3" i="5"/>
  <c r="L5" i="5" s="1"/>
  <c r="M17" i="3"/>
  <c r="M15" i="5" s="1"/>
  <c r="M20" i="5" s="1"/>
  <c r="M26" i="5" s="1"/>
  <c r="L15" i="5"/>
  <c r="L20" i="5" s="1"/>
  <c r="L26" i="5" s="1"/>
  <c r="L19" i="1"/>
  <c r="L15" i="3"/>
  <c r="L18" i="3" s="1"/>
  <c r="L20" i="3" s="1"/>
  <c r="Z18" i="13"/>
  <c r="M14" i="1"/>
  <c r="M15" i="1" s="1"/>
  <c r="L3" i="11" s="1"/>
  <c r="L5" i="11" s="1"/>
  <c r="K24" i="11" l="1"/>
  <c r="L15" i="11"/>
  <c r="D9" i="12"/>
  <c r="E9" i="12" s="1"/>
  <c r="C11" i="12"/>
  <c r="C13" i="12" s="1"/>
  <c r="J6" i="10" s="1"/>
  <c r="G34" i="10" s="1"/>
  <c r="F22" i="7"/>
  <c r="E8" i="12"/>
  <c r="D10" i="12"/>
  <c r="D39" i="11"/>
  <c r="E44" i="11"/>
  <c r="E27" i="10"/>
  <c r="E28" i="10"/>
  <c r="E24" i="10"/>
  <c r="E21" i="10"/>
  <c r="E26" i="10"/>
  <c r="E25" i="10"/>
  <c r="E23" i="10"/>
  <c r="E22" i="10"/>
  <c r="E18" i="10"/>
  <c r="L11" i="5"/>
  <c r="L28" i="5" s="1"/>
  <c r="N14" i="2"/>
  <c r="N3" i="4"/>
  <c r="N8" i="4" s="1"/>
  <c r="M11" i="4"/>
  <c r="M15" i="4" s="1"/>
  <c r="L7" i="9"/>
  <c r="L11" i="9" s="1"/>
  <c r="C6" i="12"/>
  <c r="L4" i="9"/>
  <c r="L20" i="9"/>
  <c r="L14" i="9"/>
  <c r="M3" i="5"/>
  <c r="M5" i="5" s="1"/>
  <c r="M19" i="1"/>
  <c r="M15" i="3"/>
  <c r="M18" i="3" s="1"/>
  <c r="M20" i="3" s="1"/>
  <c r="O11" i="8"/>
  <c r="O4" i="8"/>
  <c r="O12" i="8"/>
  <c r="O5" i="8"/>
  <c r="O13" i="8"/>
  <c r="O14" i="8" s="1"/>
  <c r="O10" i="8"/>
  <c r="O6" i="8"/>
  <c r="O9" i="8"/>
  <c r="O7" i="8"/>
  <c r="O8" i="8"/>
  <c r="C5" i="9"/>
  <c r="D5" i="9" s="1"/>
  <c r="N23" i="9"/>
  <c r="H39" i="9" s="1"/>
  <c r="O3" i="8"/>
  <c r="E20" i="10"/>
  <c r="E19" i="10"/>
  <c r="AA18" i="13"/>
  <c r="O14" i="1" s="1"/>
  <c r="O15" i="1" s="1"/>
  <c r="N14" i="1"/>
  <c r="N15" i="1" s="1"/>
  <c r="L24" i="11" l="1"/>
  <c r="E11" i="12"/>
  <c r="E13" i="12" s="1"/>
  <c r="E6" i="12" s="1"/>
  <c r="D13" i="12"/>
  <c r="N19" i="1"/>
  <c r="M3" i="11"/>
  <c r="M5" i="11" s="1"/>
  <c r="E29" i="10"/>
  <c r="M7" i="9"/>
  <c r="M11" i="9" s="1"/>
  <c r="M11" i="5"/>
  <c r="M28" i="5" s="1"/>
  <c r="D12" i="9"/>
  <c r="D17" i="9" s="1"/>
  <c r="E5" i="9"/>
  <c r="E12" i="9" s="1"/>
  <c r="C12" i="9"/>
  <c r="C17" i="9" s="1"/>
  <c r="E17" i="9" l="1"/>
  <c r="E13" i="9"/>
  <c r="E15" i="9" s="1"/>
  <c r="F5" i="9"/>
  <c r="F12" i="9" s="1"/>
  <c r="E6" i="9"/>
  <c r="E8" i="9" s="1"/>
  <c r="F17" i="9" l="1"/>
  <c r="F13" i="9"/>
  <c r="F15" i="9" s="1"/>
  <c r="E18" i="9"/>
  <c r="G5" i="9"/>
  <c r="G12" i="9" s="1"/>
  <c r="F6" i="9"/>
  <c r="F8" i="9" s="1"/>
  <c r="D24" i="5"/>
  <c r="D26" i="5" s="1"/>
  <c r="D7" i="3"/>
  <c r="D9" i="3" s="1"/>
  <c r="N7" i="3"/>
  <c r="N9" i="3" s="1"/>
  <c r="O7" i="3"/>
  <c r="O9" i="3" s="1"/>
  <c r="C7" i="3"/>
  <c r="C9" i="3" s="1"/>
  <c r="C11" i="3" s="1"/>
  <c r="D17" i="1"/>
  <c r="D15" i="1"/>
  <c r="D19" i="1" s="1"/>
  <c r="C15" i="1"/>
  <c r="C19" i="1" s="1"/>
  <c r="N11" i="3" l="1"/>
  <c r="N12" i="3" s="1"/>
  <c r="D11" i="3"/>
  <c r="D12" i="3" s="1"/>
  <c r="C12" i="3"/>
  <c r="O11" i="3"/>
  <c r="O12" i="3" s="1"/>
  <c r="F18" i="9"/>
  <c r="G13" i="9"/>
  <c r="G15" i="9" s="1"/>
  <c r="G17" i="9"/>
  <c r="H5" i="9"/>
  <c r="H12" i="9" s="1"/>
  <c r="G6" i="9"/>
  <c r="G8" i="9" s="1"/>
  <c r="C3" i="11"/>
  <c r="C5" i="11" s="1"/>
  <c r="D15" i="3"/>
  <c r="D18" i="3" s="1"/>
  <c r="C15" i="3"/>
  <c r="C18" i="3" s="1"/>
  <c r="C22" i="1"/>
  <c r="O15" i="3"/>
  <c r="O18" i="3" s="1"/>
  <c r="N15" i="3"/>
  <c r="N18" i="3" s="1"/>
  <c r="C26" i="2" l="1"/>
  <c r="C27" i="2" s="1"/>
  <c r="E7" i="5"/>
  <c r="D7" i="11" s="1"/>
  <c r="D15" i="11" s="1"/>
  <c r="D7" i="9"/>
  <c r="D11" i="9" s="1"/>
  <c r="D13" i="9" s="1"/>
  <c r="D15" i="9" s="1"/>
  <c r="D18" i="9" s="1"/>
  <c r="D7" i="5"/>
  <c r="C7" i="11" s="1"/>
  <c r="C15" i="11" s="1"/>
  <c r="C3" i="8" a="1"/>
  <c r="N7" i="9"/>
  <c r="N11" i="9" s="1"/>
  <c r="N7" i="5"/>
  <c r="M7" i="11" s="1"/>
  <c r="M15" i="11" s="1"/>
  <c r="N14" i="9"/>
  <c r="C20" i="8"/>
  <c r="M4" i="9"/>
  <c r="M20" i="9"/>
  <c r="M14" i="9"/>
  <c r="N3" i="5"/>
  <c r="N5" i="5" s="1"/>
  <c r="D18" i="1"/>
  <c r="D22" i="1" s="1"/>
  <c r="G18" i="9"/>
  <c r="H17" i="9"/>
  <c r="H13" i="9"/>
  <c r="H15" i="9" s="1"/>
  <c r="I5" i="9"/>
  <c r="I12" i="9" s="1"/>
  <c r="H6" i="9"/>
  <c r="H8" i="9" s="1"/>
  <c r="C14" i="9"/>
  <c r="D3" i="5"/>
  <c r="D5" i="5" s="1"/>
  <c r="O20" i="3"/>
  <c r="N20" i="3"/>
  <c r="C4" i="9"/>
  <c r="C6" i="9" s="1"/>
  <c r="D20" i="3"/>
  <c r="C20" i="3"/>
  <c r="C7" i="9"/>
  <c r="M24" i="11" l="1"/>
  <c r="M37" i="11"/>
  <c r="C39" i="11" s="1"/>
  <c r="D24" i="11"/>
  <c r="D8" i="8"/>
  <c r="C22" i="4"/>
  <c r="C23" i="4" s="1"/>
  <c r="C29" i="2"/>
  <c r="D11" i="5"/>
  <c r="D28" i="5" s="1"/>
  <c r="N11" i="5"/>
  <c r="N28" i="5" s="1"/>
  <c r="E11" i="5"/>
  <c r="E28" i="5" s="1"/>
  <c r="D4" i="9"/>
  <c r="D6" i="9" s="1"/>
  <c r="D8" i="9" s="1"/>
  <c r="D11" i="4"/>
  <c r="D20" i="9" s="1"/>
  <c r="D12" i="8"/>
  <c r="D11" i="8"/>
  <c r="D7" i="8"/>
  <c r="D14" i="8"/>
  <c r="C21" i="8" s="1"/>
  <c r="D3" i="10" s="1"/>
  <c r="E3" i="10" s="1"/>
  <c r="G3" i="10" s="1"/>
  <c r="D18" i="10" s="1"/>
  <c r="G18" i="10" s="1"/>
  <c r="D9" i="8"/>
  <c r="D6" i="8"/>
  <c r="D10" i="8"/>
  <c r="D13" i="8"/>
  <c r="D5" i="8"/>
  <c r="C20" i="9"/>
  <c r="C15" i="4"/>
  <c r="N11" i="4"/>
  <c r="N20" i="9" s="1"/>
  <c r="N25" i="9" s="1"/>
  <c r="N4" i="9"/>
  <c r="C3" i="8"/>
  <c r="D4" i="8" s="1"/>
  <c r="I3" i="8" a="1"/>
  <c r="I3" i="8" s="1"/>
  <c r="J4" i="8" s="1"/>
  <c r="J3" i="10"/>
  <c r="I17" i="9"/>
  <c r="I13" i="9"/>
  <c r="I15" i="9" s="1"/>
  <c r="H18" i="9"/>
  <c r="J5" i="9"/>
  <c r="J12" i="9" s="1"/>
  <c r="I6" i="9"/>
  <c r="I8" i="9" s="1"/>
  <c r="C8" i="9"/>
  <c r="E18" i="1"/>
  <c r="E22" i="1" s="1"/>
  <c r="D26" i="2"/>
  <c r="D27" i="2" s="1"/>
  <c r="C11" i="9"/>
  <c r="C13" i="9" s="1"/>
  <c r="C15" i="9" s="1"/>
  <c r="C18" i="9" s="1"/>
  <c r="C24" i="11" l="1"/>
  <c r="C28" i="11" a="1"/>
  <c r="K11" i="8"/>
  <c r="K9" i="8"/>
  <c r="K10" i="8"/>
  <c r="K14" i="8"/>
  <c r="K8" i="8"/>
  <c r="K5" i="8"/>
  <c r="K6" i="8"/>
  <c r="K15" i="8"/>
  <c r="K13" i="8"/>
  <c r="K7" i="8"/>
  <c r="K12" i="8"/>
  <c r="C25" i="4"/>
  <c r="D29" i="2"/>
  <c r="D22" i="4"/>
  <c r="D23" i="4" s="1"/>
  <c r="J4" i="10"/>
  <c r="D15" i="4"/>
  <c r="N24" i="9"/>
  <c r="D4" i="10"/>
  <c r="D5" i="10" s="1"/>
  <c r="C23" i="9" a="1"/>
  <c r="C23" i="9" s="1"/>
  <c r="H36" i="9" s="1"/>
  <c r="E3" i="8" a="1"/>
  <c r="N15" i="4"/>
  <c r="D23" i="9" a="1"/>
  <c r="D23" i="9" s="1"/>
  <c r="J7" i="8"/>
  <c r="J5" i="8"/>
  <c r="J8" i="8"/>
  <c r="J15" i="8"/>
  <c r="J11" i="8"/>
  <c r="J14" i="8"/>
  <c r="J13" i="8"/>
  <c r="J10" i="8"/>
  <c r="J9" i="8"/>
  <c r="J12" i="8"/>
  <c r="J6" i="8"/>
  <c r="J17" i="9"/>
  <c r="J13" i="9"/>
  <c r="J15" i="9" s="1"/>
  <c r="I18" i="9"/>
  <c r="K5" i="9"/>
  <c r="K12" i="9" s="1"/>
  <c r="J6" i="9"/>
  <c r="J8" i="9" s="1"/>
  <c r="F18" i="1"/>
  <c r="F22" i="1" s="1"/>
  <c r="E26" i="2"/>
  <c r="N3" i="8" a="1"/>
  <c r="C20" i="10" l="1"/>
  <c r="F20" i="10" s="1"/>
  <c r="C21" i="10"/>
  <c r="F21" i="10" s="1"/>
  <c r="C24" i="10"/>
  <c r="F24" i="10" s="1"/>
  <c r="C25" i="10"/>
  <c r="F25" i="10" s="1"/>
  <c r="C26" i="10"/>
  <c r="F26" i="10" s="1"/>
  <c r="C19" i="10"/>
  <c r="F19" i="10" s="1"/>
  <c r="C22" i="10"/>
  <c r="F22" i="10" s="1"/>
  <c r="C27" i="10"/>
  <c r="F27" i="10" s="1"/>
  <c r="C23" i="10"/>
  <c r="F23" i="10" s="1"/>
  <c r="C28" i="10"/>
  <c r="F28" i="10" s="1"/>
  <c r="E34" i="11"/>
  <c r="E35" i="11"/>
  <c r="E33" i="11"/>
  <c r="E37" i="11"/>
  <c r="E31" i="11"/>
  <c r="E38" i="11"/>
  <c r="E36" i="11"/>
  <c r="E32" i="11"/>
  <c r="C28" i="11"/>
  <c r="E28" i="11" s="1"/>
  <c r="E29" i="11"/>
  <c r="E30" i="11"/>
  <c r="F7" i="8"/>
  <c r="H15" i="8"/>
  <c r="C22" i="8" s="1"/>
  <c r="E4" i="10"/>
  <c r="G4" i="10" s="1"/>
  <c r="D25" i="4"/>
  <c r="E27" i="2"/>
  <c r="E29" i="2" s="1"/>
  <c r="E22" i="4"/>
  <c r="E23" i="4" s="1"/>
  <c r="E25" i="4" s="1"/>
  <c r="N27" i="9"/>
  <c r="N29" i="9" s="1"/>
  <c r="H10" i="8"/>
  <c r="G7" i="8"/>
  <c r="G9" i="8"/>
  <c r="G6" i="8"/>
  <c r="H6" i="8"/>
  <c r="G13" i="8"/>
  <c r="H7" i="8"/>
  <c r="G5" i="8"/>
  <c r="H8" i="8"/>
  <c r="F5" i="8"/>
  <c r="G8" i="8"/>
  <c r="F13" i="8"/>
  <c r="G10" i="8"/>
  <c r="G15" i="8"/>
  <c r="F10" i="8"/>
  <c r="H13" i="8"/>
  <c r="H12" i="8"/>
  <c r="F9" i="8"/>
  <c r="H11" i="8"/>
  <c r="F12" i="8"/>
  <c r="H14" i="8"/>
  <c r="G12" i="8"/>
  <c r="G11" i="8"/>
  <c r="F14" i="8"/>
  <c r="F8" i="8"/>
  <c r="F6" i="8"/>
  <c r="E3" i="8"/>
  <c r="G4" i="8" s="1"/>
  <c r="G14" i="8"/>
  <c r="F11" i="8"/>
  <c r="H9" i="8"/>
  <c r="D6" i="10"/>
  <c r="E5" i="10"/>
  <c r="G5" i="10" s="1"/>
  <c r="D20" i="10" s="1"/>
  <c r="J18" i="9"/>
  <c r="K17" i="9"/>
  <c r="K13" i="9"/>
  <c r="K15" i="9" s="1"/>
  <c r="L5" i="9"/>
  <c r="L12" i="9" s="1"/>
  <c r="K6" i="9"/>
  <c r="K8" i="9" s="1"/>
  <c r="P10" i="8"/>
  <c r="P6" i="8"/>
  <c r="P5" i="8"/>
  <c r="P8" i="8"/>
  <c r="P7" i="8"/>
  <c r="P4" i="8"/>
  <c r="P11" i="8"/>
  <c r="P9" i="8"/>
  <c r="G18" i="1"/>
  <c r="G22" i="1" s="1"/>
  <c r="F26" i="2"/>
  <c r="N3" i="8"/>
  <c r="C18" i="10" s="1"/>
  <c r="P12" i="8"/>
  <c r="P13" i="8"/>
  <c r="N26" i="9" l="1"/>
  <c r="N30" i="9" s="1"/>
  <c r="N31" i="9" s="1"/>
  <c r="F34" i="9" s="1"/>
  <c r="I30" i="11"/>
  <c r="I34" i="11" s="1"/>
  <c r="I37" i="11" s="1"/>
  <c r="D19" i="10"/>
  <c r="G19" i="10" s="1"/>
  <c r="G20" i="10"/>
  <c r="J5" i="10"/>
  <c r="J8" i="10" s="1"/>
  <c r="C29" i="10" s="1"/>
  <c r="F29" i="10" s="1"/>
  <c r="C25" i="8"/>
  <c r="N14" i="8" s="1"/>
  <c r="P14" i="8" s="1"/>
  <c r="F27" i="2"/>
  <c r="F29" i="2" s="1"/>
  <c r="F22" i="4"/>
  <c r="F23" i="4" s="1"/>
  <c r="F25" i="4" s="1"/>
  <c r="H5" i="8"/>
  <c r="F4" i="8"/>
  <c r="D7" i="10"/>
  <c r="E6" i="10"/>
  <c r="G6" i="10" s="1"/>
  <c r="D21" i="10" s="1"/>
  <c r="G21" i="10" s="1"/>
  <c r="K18" i="9"/>
  <c r="L17" i="9"/>
  <c r="L13" i="9"/>
  <c r="L15" i="9" s="1"/>
  <c r="M5" i="9"/>
  <c r="M12" i="9" s="1"/>
  <c r="L6" i="9"/>
  <c r="L8" i="9" s="1"/>
  <c r="H18" i="1"/>
  <c r="H22" i="1" s="1"/>
  <c r="G26" i="2"/>
  <c r="F18" i="10"/>
  <c r="P3" i="8"/>
  <c r="F30" i="10" l="1"/>
  <c r="P15" i="8"/>
  <c r="P18" i="8" s="1"/>
  <c r="P21" i="8" s="1"/>
  <c r="P24" i="8" s="1"/>
  <c r="G27" i="2"/>
  <c r="G29" i="2" s="1"/>
  <c r="G22" i="4"/>
  <c r="G23" i="4" s="1"/>
  <c r="G25" i="4" s="1"/>
  <c r="D8" i="10"/>
  <c r="E7" i="10"/>
  <c r="G7" i="10" s="1"/>
  <c r="D22" i="10" s="1"/>
  <c r="G22" i="10" s="1"/>
  <c r="M17" i="9"/>
  <c r="M13" i="9"/>
  <c r="M15" i="9" s="1"/>
  <c r="L18" i="9"/>
  <c r="M6" i="9"/>
  <c r="M8" i="9" s="1"/>
  <c r="N5" i="9"/>
  <c r="N12" i="9" s="1"/>
  <c r="H26" i="2"/>
  <c r="I18" i="1"/>
  <c r="I22" i="1" s="1"/>
  <c r="P27" i="8" l="1"/>
  <c r="Q9" i="2"/>
  <c r="Q2" i="2" s="1"/>
  <c r="Q13" i="2" s="1"/>
  <c r="H27" i="2"/>
  <c r="H29" i="2" s="1"/>
  <c r="H22" i="4"/>
  <c r="H23" i="4" s="1"/>
  <c r="H25" i="4" s="1"/>
  <c r="E23" i="9" a="1"/>
  <c r="G25" i="9" s="1"/>
  <c r="D9" i="10"/>
  <c r="E8" i="10"/>
  <c r="G8" i="10" s="1"/>
  <c r="D23" i="10" s="1"/>
  <c r="G23" i="10" s="1"/>
  <c r="M18" i="9"/>
  <c r="N17" i="9"/>
  <c r="N13" i="9"/>
  <c r="N15" i="9" s="1"/>
  <c r="N6" i="9"/>
  <c r="N8" i="9" s="1"/>
  <c r="J18" i="1"/>
  <c r="J22" i="1" s="1"/>
  <c r="I26" i="2"/>
  <c r="I27" i="2" l="1"/>
  <c r="I29" i="2" s="1"/>
  <c r="I22" i="4"/>
  <c r="I23" i="4" s="1"/>
  <c r="I25" i="4" s="1"/>
  <c r="F27" i="9"/>
  <c r="F26" i="9"/>
  <c r="G30" i="9"/>
  <c r="F32" i="9"/>
  <c r="G26" i="9"/>
  <c r="G24" i="9"/>
  <c r="G29" i="9"/>
  <c r="F33" i="9"/>
  <c r="G32" i="9"/>
  <c r="F24" i="9"/>
  <c r="G33" i="9"/>
  <c r="G34" i="9" s="1"/>
  <c r="H34" i="9" s="1"/>
  <c r="E23" i="9"/>
  <c r="G23" i="9" s="1"/>
  <c r="F31" i="9"/>
  <c r="G28" i="9"/>
  <c r="F29" i="9"/>
  <c r="F30" i="9"/>
  <c r="G27" i="9"/>
  <c r="F25" i="9"/>
  <c r="H25" i="9" s="1"/>
  <c r="G31" i="9"/>
  <c r="F28" i="9"/>
  <c r="D10" i="10"/>
  <c r="E9" i="10"/>
  <c r="G9" i="10" s="1"/>
  <c r="D24" i="10" s="1"/>
  <c r="G24" i="10" s="1"/>
  <c r="N18" i="9"/>
  <c r="K18" i="1"/>
  <c r="K22" i="1" s="1"/>
  <c r="J26" i="2"/>
  <c r="H30" i="9" l="1"/>
  <c r="J27" i="2"/>
  <c r="J29" i="2" s="1"/>
  <c r="J22" i="4"/>
  <c r="J23" i="4" s="1"/>
  <c r="J25" i="4" s="1"/>
  <c r="H27" i="9"/>
  <c r="H26" i="9"/>
  <c r="H29" i="9"/>
  <c r="H33" i="9"/>
  <c r="F23" i="9"/>
  <c r="H23" i="9" s="1"/>
  <c r="H31" i="9"/>
  <c r="H24" i="9"/>
  <c r="H32" i="9"/>
  <c r="H28" i="9"/>
  <c r="D11" i="10"/>
  <c r="E10" i="10"/>
  <c r="G10" i="10" s="1"/>
  <c r="D25" i="10" s="1"/>
  <c r="G25" i="10" s="1"/>
  <c r="L18" i="1"/>
  <c r="L22" i="1" s="1"/>
  <c r="K26" i="2"/>
  <c r="K27" i="2" l="1"/>
  <c r="K29" i="2" s="1"/>
  <c r="K22" i="4"/>
  <c r="K23" i="4" s="1"/>
  <c r="K25" i="4" s="1"/>
  <c r="H35" i="9"/>
  <c r="H37" i="9" s="1"/>
  <c r="H40" i="9" s="1"/>
  <c r="I40" i="9" s="1"/>
  <c r="D12" i="10"/>
  <c r="E11" i="10"/>
  <c r="G11" i="10" s="1"/>
  <c r="D26" i="10" s="1"/>
  <c r="G26" i="10" s="1"/>
  <c r="M18" i="1"/>
  <c r="M22" i="1" s="1"/>
  <c r="L26" i="2"/>
  <c r="L27" i="2" l="1"/>
  <c r="L29" i="2" s="1"/>
  <c r="L22" i="4"/>
  <c r="L23" i="4" s="1"/>
  <c r="L25" i="4" s="1"/>
  <c r="D13" i="10"/>
  <c r="E12" i="10"/>
  <c r="G12" i="10" s="1"/>
  <c r="D27" i="10" s="1"/>
  <c r="G27" i="10" s="1"/>
  <c r="H43" i="9"/>
  <c r="H46" i="9" s="1"/>
  <c r="H49" i="9" s="1"/>
  <c r="I49" i="9" s="1"/>
  <c r="N18" i="1"/>
  <c r="N22" i="1" s="1"/>
  <c r="M26" i="2"/>
  <c r="M27" i="2" l="1"/>
  <c r="M29" i="2" s="1"/>
  <c r="M22" i="4"/>
  <c r="M23" i="4" s="1"/>
  <c r="M25" i="4" s="1"/>
  <c r="E13" i="10"/>
  <c r="G13" i="10" s="1"/>
  <c r="D28" i="10" s="1"/>
  <c r="G28" i="10" s="1"/>
  <c r="D14" i="10"/>
  <c r="E14" i="10" s="1"/>
  <c r="G14" i="10" s="1"/>
  <c r="N26" i="2"/>
  <c r="E39" i="11" l="1"/>
  <c r="E40" i="11" s="1"/>
  <c r="E42" i="11" s="1"/>
  <c r="D29" i="10"/>
  <c r="G29" i="10" s="1"/>
  <c r="G30" i="10" s="1"/>
  <c r="G32" i="10" s="1"/>
  <c r="G35" i="10" s="1"/>
  <c r="G38" i="10" s="1"/>
  <c r="G41" i="10" s="1"/>
  <c r="G44" i="10" s="1"/>
  <c r="G45" i="10" s="1"/>
  <c r="N27" i="2"/>
  <c r="N29" i="2" s="1"/>
  <c r="N22" i="4"/>
  <c r="N23" i="4" s="1"/>
  <c r="N25" i="4" s="1"/>
  <c r="E54" i="11" l="1"/>
  <c r="E55" i="11" s="1"/>
  <c r="E45" i="11"/>
  <c r="E48" i="11" s="1"/>
  <c r="E51"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J9" authorId="0" shapeId="0" xr:uid="{16BE151E-D3CA-4023-99D9-ACB88374A5F3}">
      <text>
        <r>
          <rPr>
            <b/>
            <sz val="9"/>
            <color indexed="81"/>
            <rFont val="Tahoma"/>
            <family val="2"/>
            <charset val="204"/>
          </rPr>
          <t>ThinkPad:</t>
        </r>
        <r>
          <rPr>
            <sz val="9"/>
            <color indexed="81"/>
            <rFont val="Tahoma"/>
            <family val="2"/>
            <charset val="204"/>
          </rPr>
          <t xml:space="preserve">
შემცირებულია არამატერიალური აქტივების ამორტიზაციით
</t>
        </r>
      </text>
    </comment>
    <comment ref="J18" authorId="0" shapeId="0" xr:uid="{5D542819-89DD-4025-AEC8-111F61356643}">
      <text>
        <r>
          <rPr>
            <b/>
            <sz val="9"/>
            <color indexed="81"/>
            <rFont val="Tahoma"/>
            <family val="2"/>
            <charset val="204"/>
          </rPr>
          <t>ThinkPad:</t>
        </r>
        <r>
          <rPr>
            <sz val="9"/>
            <color indexed="81"/>
            <rFont val="Tahoma"/>
            <family val="2"/>
            <charset val="204"/>
          </rPr>
          <t xml:space="preserve">
დაკორექტირდა არაატერიალური ხარჯების უკანგ დამატების გათვალისწინებით, რომ მომავალი პერიოდების გადასახადების განაკვეთი შესაბამიოსბაში მოვიდეს, სხვაგვარად ნოპატში ცდომილება იქნება
</t>
        </r>
      </text>
    </comment>
    <comment ref="B92" authorId="0" shapeId="0" xr:uid="{E8B1054F-F854-4ED8-B642-FA2F771C1EB0}">
      <text>
        <r>
          <rPr>
            <b/>
            <sz val="9"/>
            <color indexed="81"/>
            <rFont val="Tahoma"/>
            <family val="2"/>
            <charset val="204"/>
          </rPr>
          <t>ThinkPad:</t>
        </r>
        <r>
          <rPr>
            <sz val="9"/>
            <color indexed="81"/>
            <rFont val="Tahoma"/>
            <family val="2"/>
            <charset val="204"/>
          </rPr>
          <t xml:space="preserve">
ეს ინფორმაცია ნაიკის შემთხვევაში იდენტიფიცირებადი არ არის, შედის ადმიისტრაციულ ხარჯებში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C5" authorId="0" shapeId="0" xr:uid="{D582AB3D-3E6E-4D03-9765-F5644F9CF0B0}">
      <text>
        <r>
          <rPr>
            <b/>
            <sz val="9"/>
            <color indexed="81"/>
            <rFont val="Tahoma"/>
            <family val="2"/>
            <charset val="204"/>
          </rPr>
          <t>ThinkPad:</t>
        </r>
        <r>
          <rPr>
            <sz val="9"/>
            <color indexed="81"/>
            <rFont val="Tahoma"/>
            <family val="2"/>
            <charset val="204"/>
          </rPr>
          <t xml:space="preserve">
დამატებულია ამ წლის არამატერიალური აქტივების ამორტიზაცია
</t>
        </r>
      </text>
    </comment>
    <comment ref="C18" authorId="0" shapeId="0" xr:uid="{9B25275E-093B-44B8-A481-C52DA6BB5C40}">
      <text>
        <r>
          <rPr>
            <b/>
            <sz val="9"/>
            <color indexed="81"/>
            <rFont val="Tahoma"/>
            <family val="2"/>
            <charset val="204"/>
          </rPr>
          <t>ThinkPad:</t>
        </r>
        <r>
          <rPr>
            <sz val="9"/>
            <color indexed="81"/>
            <rFont val="Tahoma"/>
            <family val="2"/>
            <charset val="204"/>
          </rPr>
          <t xml:space="preserve">
დამატებულია 2019-23-ის არამატერიალური აქტივების ამორტიზაცია</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P5" authorId="0" shapeId="0" xr:uid="{93408F6A-196D-413B-82FB-62EB6ECD7E72}">
      <text>
        <r>
          <rPr>
            <b/>
            <sz val="9"/>
            <color indexed="81"/>
            <rFont val="Tahoma"/>
            <family val="2"/>
            <charset val="204"/>
          </rPr>
          <t>ThinkPad:</t>
        </r>
        <r>
          <rPr>
            <sz val="9"/>
            <color indexed="81"/>
            <rFont val="Tahoma"/>
            <family val="2"/>
            <charset val="204"/>
          </rPr>
          <t xml:space="preserve">
გრძელვადიანი განაკვეთი აღებულია ეს ციფრი, რომელიც მომდინარეობის NOPAT-ის შეფარდებით გუდვილის გარეშე ინვესტიციასტან. სავარაუდოდ, რადგან მომავალის პროგნოზირებისას შესყიდვების და შესაბამისად გუდვლი გატლა არ ხდება, და ბიზნესს შეუძლია ამ ციფრზე გასვლა ორგანული ზრდით, ამიტომ არის აღებული ეს ციფრი, რომელიც გავლენას ახდენს როგორც DCF ის EP მეთოდზე. თუმცა რალურად შეიძლება სულ სხვა ციფრი დაიგეგმოს.</t>
        </r>
      </text>
    </comment>
    <comment ref="C12" authorId="0" shapeId="0" xr:uid="{1601660D-1224-4CCB-8D85-2725BFA35ECC}">
      <text>
        <r>
          <rPr>
            <b/>
            <sz val="9"/>
            <color indexed="81"/>
            <rFont val="Tahoma"/>
            <family val="2"/>
            <charset val="204"/>
          </rPr>
          <t>ThinkPad:</t>
        </r>
        <r>
          <rPr>
            <sz val="9"/>
            <color indexed="81"/>
            <rFont val="Tahoma"/>
            <family val="2"/>
            <charset val="204"/>
          </rPr>
          <t xml:space="preserve">
დამატებულია 2019-დან-2024-ის ცათვლით ამორტიზირებული ნაწილი</t>
        </r>
      </text>
    </comment>
    <comment ref="C26" authorId="0" shapeId="0" xr:uid="{219C0375-BE6B-40F9-9D60-B9B7D98A89A8}">
      <text>
        <r>
          <rPr>
            <b/>
            <sz val="9"/>
            <color indexed="81"/>
            <rFont val="Tahoma"/>
            <family val="2"/>
            <charset val="204"/>
          </rPr>
          <t>ThinkPad:</t>
        </r>
        <r>
          <rPr>
            <sz val="9"/>
            <color indexed="81"/>
            <rFont val="Tahoma"/>
            <family val="2"/>
            <charset val="204"/>
          </rPr>
          <t xml:space="preserve">
დამატებულია 2019-23-ის ჩათვლით არამატერიალური აქტივების ამორტიზაცია</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E6" authorId="0" shapeId="0" xr:uid="{EF32ED49-8F0D-4172-91DB-F0991567CDD2}">
      <text>
        <r>
          <rPr>
            <b/>
            <sz val="9"/>
            <color indexed="81"/>
            <rFont val="Tahoma"/>
            <family val="2"/>
            <charset val="204"/>
          </rPr>
          <t>ThinkPad:</t>
        </r>
        <r>
          <rPr>
            <sz val="9"/>
            <color indexed="81"/>
            <rFont val="Tahoma"/>
            <family val="2"/>
            <charset val="204"/>
          </rPr>
          <t xml:space="preserve">
General Retail - 1.25, Food &amp; Grocery - 0.49</t>
        </r>
      </text>
    </comment>
    <comment ref="C7" authorId="0" shapeId="0" xr:uid="{2EDAEFEA-F522-4578-A986-7C3DA3A48CF9}">
      <text>
        <r>
          <rPr>
            <b/>
            <sz val="9"/>
            <color indexed="81"/>
            <rFont val="Tahoma"/>
            <family val="2"/>
            <charset val="204"/>
          </rPr>
          <t>ThinkPad:</t>
        </r>
        <r>
          <rPr>
            <sz val="9"/>
            <color indexed="81"/>
            <rFont val="Tahoma"/>
            <family val="2"/>
            <charset val="204"/>
          </rPr>
          <t xml:space="preserve">
d/(d+e)</t>
        </r>
      </text>
    </comment>
    <comment ref="D22" authorId="0" shapeId="0" xr:uid="{E195E9C5-340F-46CF-818D-06521E1339E7}">
      <text>
        <r>
          <rPr>
            <b/>
            <sz val="9"/>
            <color indexed="81"/>
            <rFont val="Tahoma"/>
            <family val="2"/>
            <charset val="204"/>
          </rPr>
          <t>ThinkPad:</t>
        </r>
        <r>
          <rPr>
            <sz val="9"/>
            <color indexed="81"/>
            <rFont val="Tahoma"/>
            <family val="2"/>
            <charset val="204"/>
          </rPr>
          <t xml:space="preserve">
Unlevered Version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B22" authorId="0" shapeId="0" xr:uid="{D55BF7E4-717C-4E54-8947-C6094BE079F7}">
      <text>
        <r>
          <rPr>
            <b/>
            <sz val="9"/>
            <color indexed="81"/>
            <rFont val="Tahoma"/>
            <family val="2"/>
            <charset val="204"/>
          </rPr>
          <t>ThinkPad:</t>
        </r>
        <r>
          <rPr>
            <sz val="9"/>
            <color indexed="81"/>
            <rFont val="Tahoma"/>
            <family val="2"/>
            <charset val="204"/>
          </rPr>
          <t xml:space="preserve">
გრძელვადიანი განაკვეთი აღებულია ეს ციფრი, რომელიც მომდინარეობის NOPAT-ის შეფარდებით გუდვილის გარეშე ინვესტიციასტან. სავარაუდოდ, რადგან მომავალის პროგნოზირებისას შესყიდვების და შესაბამისად გუდვლი გატლა არ ხდება, და ბიზნესს შეუძლია ამ ციფრზე გასვლა ორგანული ზრდით, ამიტომ არის აღებული ეს ციფრი, რომელიც გავლენას ახდენს როგორც DCF ის EP მეთოდზე. თუმცა რალურად შეიძლება სულ სხვა ციფრი დაიგეგმოს.</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C22" authorId="0" shapeId="0" xr:uid="{234157BF-E8BE-4104-93CB-92FC9EFF263B}">
      <text>
        <r>
          <rPr>
            <b/>
            <sz val="9"/>
            <color indexed="81"/>
            <rFont val="Tahoma"/>
            <family val="2"/>
            <charset val="204"/>
          </rPr>
          <t>ThinkPad:</t>
        </r>
        <r>
          <rPr>
            <sz val="9"/>
            <color indexed="81"/>
            <rFont val="Tahoma"/>
            <family val="2"/>
            <charset val="204"/>
          </rPr>
          <t xml:space="preserve">
Invested Capital at The beginning of the year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D12" authorId="0" shapeId="0" xr:uid="{9C31D809-2A5B-45F8-9D96-2B1CBF85DF53}">
      <text>
        <r>
          <rPr>
            <b/>
            <sz val="9"/>
            <color indexed="81"/>
            <rFont val="Tahoma"/>
            <family val="2"/>
            <charset val="204"/>
          </rPr>
          <t>ThinkPad:</t>
        </r>
        <r>
          <rPr>
            <sz val="9"/>
            <color indexed="81"/>
            <rFont val="Tahoma"/>
            <family val="2"/>
            <charset val="204"/>
          </rPr>
          <t xml:space="preserve">
როგორ უნდა დავთვალოთ PV of Tx Shield, თუ ორგანიზაციის ზრდა აღემატება CoD-? 
იდეაში, თუ არ იზრდება ორგანიზაცია, მაშინ საგადასახადო დანაზოგის PV იქნება დღევანდელი სესხის ღირებულების და საგადასახადო განაკვეთის ნამრავლის ტოლი, მაგრამ თუ ორგანიზაცია იზრდება და სესხიც პროპორციულად იზრდება მააშინ ეს ციფრიც იზრდება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ThinkPad</author>
  </authors>
  <commentList>
    <comment ref="I37" authorId="0" shapeId="0" xr:uid="{69A12D89-7CF8-4DD3-B749-8BABD17ED1AD}">
      <text>
        <r>
          <rPr>
            <b/>
            <sz val="9"/>
            <color indexed="81"/>
            <rFont val="Tahoma"/>
            <family val="2"/>
            <charset val="204"/>
          </rPr>
          <t>ThinkPad:</t>
        </r>
        <r>
          <rPr>
            <sz val="9"/>
            <color indexed="81"/>
            <rFont val="Tahoma"/>
            <family val="2"/>
            <charset val="204"/>
          </rPr>
          <t xml:space="preserve">
ამ ციფრს წესით უნდა ვიღებდე იგივეს რაც მარჯვნივ არის... გამოდის ან g ან ROE აცდენილია</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<sst xmlns="http://schemas.openxmlformats.org/spreadsheetml/2006/main" count="465" uniqueCount="348">
  <si>
    <t>Revenue</t>
  </si>
  <si>
    <t>Depreciation</t>
  </si>
  <si>
    <t>Operating profit</t>
  </si>
  <si>
    <t>Interest expense</t>
  </si>
  <si>
    <t>Income taxes</t>
  </si>
  <si>
    <t>Net income</t>
  </si>
  <si>
    <t>Statement of shareholders' equity</t>
  </si>
  <si>
    <t>Equity,beginning of year</t>
  </si>
  <si>
    <t>Dividends</t>
  </si>
  <si>
    <t>Share issuances (repurchases)</t>
  </si>
  <si>
    <t>Equity,end of year</t>
  </si>
  <si>
    <t>Earnings before taxes (EBT)</t>
  </si>
  <si>
    <t>Income Statement</t>
  </si>
  <si>
    <t>Continuing</t>
  </si>
  <si>
    <t>Balance Sheet</t>
  </si>
  <si>
    <t>Check</t>
  </si>
  <si>
    <t>NOPAT</t>
  </si>
  <si>
    <t>Reconciliation to net income</t>
  </si>
  <si>
    <t>Working capital</t>
  </si>
  <si>
    <t>Property,plant,and equipment, net</t>
  </si>
  <si>
    <t>Invested capital, excluding goodwill</t>
  </si>
  <si>
    <t>Goodwill and acquired intangibles</t>
  </si>
  <si>
    <t>Invested capital, including goodwill</t>
  </si>
  <si>
    <t>Nonoperating assets</t>
  </si>
  <si>
    <t>Reconciliation of totalfunds invested</t>
  </si>
  <si>
    <t>Short-term debt</t>
  </si>
  <si>
    <t>Long-term debt</t>
  </si>
  <si>
    <t>Debt and debt equivalents</t>
  </si>
  <si>
    <t>Shareholders'equity</t>
  </si>
  <si>
    <t>Interest tax shield</t>
  </si>
  <si>
    <t>Accounts receivable</t>
  </si>
  <si>
    <t>Inventories</t>
  </si>
  <si>
    <t>Current assets</t>
  </si>
  <si>
    <t>Property and equipment</t>
  </si>
  <si>
    <t>Total assets</t>
  </si>
  <si>
    <t>Liabilities and equity</t>
  </si>
  <si>
    <t>Accounts payable</t>
  </si>
  <si>
    <t>Current liabilities</t>
  </si>
  <si>
    <t>Shareholders' equity</t>
  </si>
  <si>
    <t>Total liabilities and equity</t>
  </si>
  <si>
    <t>Total funds invested</t>
  </si>
  <si>
    <t>TotaI funds invested</t>
  </si>
  <si>
    <t>Projected Free cash Flow</t>
  </si>
  <si>
    <t>Gross cash flow</t>
  </si>
  <si>
    <t>Decrease (increase) in operating working capital</t>
  </si>
  <si>
    <t>Free cash flow</t>
  </si>
  <si>
    <t>Reconciliation of free cashflow</t>
  </si>
  <si>
    <t>Decrease (Increase) in short-term debt</t>
  </si>
  <si>
    <t>Decrease (Increase) in long-term debt</t>
  </si>
  <si>
    <t>Flows to (from) debt holders</t>
  </si>
  <si>
    <t>Cash dividends</t>
  </si>
  <si>
    <t>Repurchased (issued) shares</t>
  </si>
  <si>
    <t>Flows to (from) equity holders</t>
  </si>
  <si>
    <t>Invested capital</t>
  </si>
  <si>
    <t>RONIC</t>
  </si>
  <si>
    <t>Key Inputs</t>
  </si>
  <si>
    <t>Projected NOPAT at CV</t>
  </si>
  <si>
    <t>NOPAT growt rate in perpetuity</t>
  </si>
  <si>
    <t>WACC</t>
  </si>
  <si>
    <t>Continuing Value</t>
  </si>
  <si>
    <t>10 Year T Bond</t>
  </si>
  <si>
    <t>https://markets.ft.com/data/bonds</t>
  </si>
  <si>
    <t>Market Cap</t>
  </si>
  <si>
    <t>Company Beta</t>
  </si>
  <si>
    <t>Current Leverage</t>
  </si>
  <si>
    <t>Industry Beta</t>
  </si>
  <si>
    <t>Industry Leverage</t>
  </si>
  <si>
    <t>Adjusted Beta</t>
  </si>
  <si>
    <t>Target Leverage</t>
  </si>
  <si>
    <t>MRP</t>
  </si>
  <si>
    <t>CoE</t>
  </si>
  <si>
    <t>Debt Rating</t>
  </si>
  <si>
    <t>AA</t>
  </si>
  <si>
    <t>Cost of Debt</t>
  </si>
  <si>
    <t>Last Close</t>
  </si>
  <si>
    <t>Source of Capital</t>
  </si>
  <si>
    <t>CoC</t>
  </si>
  <si>
    <t>Marginal Tax Rate</t>
  </si>
  <si>
    <t>After Tax CoC</t>
  </si>
  <si>
    <t>Contribution to WACC</t>
  </si>
  <si>
    <t>Equity</t>
  </si>
  <si>
    <t>FCF</t>
  </si>
  <si>
    <t>Disc. Factor</t>
  </si>
  <si>
    <t>PV</t>
  </si>
  <si>
    <t>PV of CashFlow</t>
  </si>
  <si>
    <t>Midyear adjustment factor</t>
  </si>
  <si>
    <t>Value of Operations</t>
  </si>
  <si>
    <t>Enterprise value</t>
  </si>
  <si>
    <t>Equity Value</t>
  </si>
  <si>
    <t>Shares outstanding</t>
  </si>
  <si>
    <t>Fair Price</t>
  </si>
  <si>
    <t>CV</t>
  </si>
  <si>
    <t>Method 1</t>
  </si>
  <si>
    <t>Weighted average cost of capital,%</t>
  </si>
  <si>
    <t>Economic spread. %</t>
  </si>
  <si>
    <t>x Invested capital</t>
  </si>
  <si>
    <t>Economic profit</t>
  </si>
  <si>
    <t>x Weighted average cost of capital,%</t>
  </si>
  <si>
    <t>Capital charge</t>
  </si>
  <si>
    <t>Forecast year</t>
  </si>
  <si>
    <t>Invested 
Capital</t>
  </si>
  <si>
    <r>
      <rPr>
        <b/>
        <sz val="10"/>
        <rFont val="Cambria"/>
        <family val="1"/>
        <charset val="204"/>
        <scheme val="major"/>
      </rPr>
      <t xml:space="preserve">ROIC,
 </t>
    </r>
    <r>
      <rPr>
        <sz val="10"/>
        <rFont val="Cambria"/>
        <family val="1"/>
        <charset val="204"/>
        <scheme val="major"/>
      </rPr>
      <t>%</t>
    </r>
  </si>
  <si>
    <r>
      <rPr>
        <b/>
        <sz val="10"/>
        <rFont val="Cambria"/>
        <family val="1"/>
        <charset val="204"/>
        <scheme val="major"/>
      </rPr>
      <t xml:space="preserve">WACC,
</t>
    </r>
    <r>
      <rPr>
        <sz val="10"/>
        <rFont val="Cambria"/>
        <family val="1"/>
        <charset val="204"/>
        <scheme val="major"/>
      </rPr>
      <t>%</t>
    </r>
  </si>
  <si>
    <r>
      <rPr>
        <b/>
        <sz val="10"/>
        <rFont val="Cambria"/>
        <family val="1"/>
        <charset val="204"/>
        <scheme val="major"/>
      </rPr>
      <t>Economic
profit</t>
    </r>
  </si>
  <si>
    <t>Discount Factor</t>
  </si>
  <si>
    <t>PV of Eco profit</t>
  </si>
  <si>
    <t>Continuing value</t>
  </si>
  <si>
    <t>Present value of economic profit</t>
  </si>
  <si>
    <t>Invested capital and economic profit</t>
  </si>
  <si>
    <t>Value of operations</t>
  </si>
  <si>
    <t>Equity value</t>
  </si>
  <si>
    <t>Value of Nonoperating assets</t>
  </si>
  <si>
    <t>Shares outstanding (1,000,000)</t>
  </si>
  <si>
    <t>Return on invested capital</t>
  </si>
  <si>
    <t>Economic Profit Including Goodwill</t>
  </si>
  <si>
    <t>Nonoperating Assets</t>
  </si>
  <si>
    <t>https://neoinsight.wordpress.com/2024/05/20/cost-of-debt/</t>
  </si>
  <si>
    <t>Method 2</t>
  </si>
  <si>
    <t>Goodwill Charge</t>
  </si>
  <si>
    <t xml:space="preserve">Invested  capital </t>
  </si>
  <si>
    <t>ROICincluding Goodwill</t>
  </si>
  <si>
    <t>G</t>
  </si>
  <si>
    <t>IC [t]</t>
  </si>
  <si>
    <t>Current EP</t>
  </si>
  <si>
    <t>Future EP</t>
  </si>
  <si>
    <t>ROIC[t+1]</t>
  </si>
  <si>
    <t>Inputs</t>
  </si>
  <si>
    <t>Prior-year
 net debt</t>
  </si>
  <si>
    <t>Interest rate, 
%</t>
  </si>
  <si>
    <t>Expected interest payement</t>
  </si>
  <si>
    <t>Marginal tax rate, %</t>
  </si>
  <si>
    <t>Continuing-value  forecast</t>
  </si>
  <si>
    <t>ITS</t>
  </si>
  <si>
    <t>PV of FCF</t>
  </si>
  <si>
    <t>PV of ITS</t>
  </si>
  <si>
    <t>Present value</t>
  </si>
  <si>
    <t>Continuing Value FCF</t>
  </si>
  <si>
    <t>Unlevered CoE</t>
  </si>
  <si>
    <t>Variable Debt</t>
  </si>
  <si>
    <t>Fixed Debt</t>
  </si>
  <si>
    <t>Cost of Equity</t>
  </si>
  <si>
    <t>Cost of Capital for Tax Shield</t>
  </si>
  <si>
    <t>Market Value of Debt</t>
  </si>
  <si>
    <t>Market Value of Equity</t>
  </si>
  <si>
    <t>Present Value of Tax Shield</t>
  </si>
  <si>
    <t>-</t>
  </si>
  <si>
    <t>Leverage - D/(D+E)</t>
  </si>
  <si>
    <t>Debt Growt Rate</t>
  </si>
  <si>
    <t>Unlevered Cost of Equity</t>
  </si>
  <si>
    <t>Assets</t>
  </si>
  <si>
    <t>Debts</t>
  </si>
  <si>
    <t>Risk is same as:</t>
  </si>
  <si>
    <t>Forecast</t>
  </si>
  <si>
    <t>Decrease (increase) inoperating working capital</t>
  </si>
  <si>
    <t>Capital expenditures. net of disposals</t>
  </si>
  <si>
    <t>Increase (decrease) inshort-term debt</t>
  </si>
  <si>
    <t>Increase (decrease) in long-term debt</t>
  </si>
  <si>
    <t>Cash flow to equity holders</t>
  </si>
  <si>
    <t>Reconciliation of cashflow to equity</t>
  </si>
  <si>
    <t>ROE</t>
  </si>
  <si>
    <t>Merchandise Sales</t>
  </si>
  <si>
    <t>Membership Fees</t>
  </si>
  <si>
    <t>Revenues</t>
  </si>
  <si>
    <t>Cost of Sales</t>
  </si>
  <si>
    <t>Selling &amp; Administrative Expenses</t>
  </si>
  <si>
    <r>
      <t>Operat</t>
    </r>
    <r>
      <rPr>
        <b/>
        <sz val="10"/>
        <color rgb="FF676E6B"/>
        <rFont val="Cambria"/>
        <family val="1"/>
        <charset val="204"/>
        <scheme val="major"/>
      </rPr>
      <t>i</t>
    </r>
    <r>
      <rPr>
        <b/>
        <sz val="10"/>
        <color rgb="FF3A3D3A"/>
        <rFont val="Cambria"/>
        <family val="1"/>
        <charset val="204"/>
        <scheme val="major"/>
      </rPr>
      <t>ng Income</t>
    </r>
  </si>
  <si>
    <r>
      <rPr>
        <sz val="10"/>
        <color rgb="FF3A3D3A"/>
        <rFont val="Cambria"/>
        <family val="1"/>
        <charset val="204"/>
        <scheme val="major"/>
      </rPr>
      <t>I</t>
    </r>
    <r>
      <rPr>
        <sz val="10"/>
        <color rgb="FF111613"/>
        <rFont val="Cambria"/>
        <family val="1"/>
        <charset val="204"/>
        <scheme val="major"/>
      </rPr>
      <t>nt</t>
    </r>
    <r>
      <rPr>
        <sz val="10"/>
        <color rgb="FF3A3D3A"/>
        <rFont val="Cambria"/>
        <family val="1"/>
        <charset val="204"/>
        <scheme val="major"/>
      </rPr>
      <t>erest Expense</t>
    </r>
  </si>
  <si>
    <r>
      <rPr>
        <sz val="10"/>
        <color rgb="FF3A3D3A"/>
        <rFont val="Cambria"/>
        <family val="1"/>
        <charset val="204"/>
        <scheme val="major"/>
      </rPr>
      <t>I</t>
    </r>
    <r>
      <rPr>
        <sz val="10"/>
        <color rgb="FF111613"/>
        <rFont val="Cambria"/>
        <family val="1"/>
        <charset val="204"/>
        <scheme val="major"/>
      </rPr>
      <t>nt</t>
    </r>
    <r>
      <rPr>
        <sz val="10"/>
        <color rgb="FF3A3D3A"/>
        <rFont val="Cambria"/>
        <family val="1"/>
        <charset val="204"/>
        <scheme val="major"/>
      </rPr>
      <t>eres</t>
    </r>
    <r>
      <rPr>
        <sz val="10"/>
        <color rgb="FF111613"/>
        <rFont val="Cambria"/>
        <family val="1"/>
        <charset val="204"/>
        <scheme val="major"/>
      </rPr>
      <t>t I</t>
    </r>
    <r>
      <rPr>
        <sz val="10"/>
        <color rgb="FF3A3D3A"/>
        <rFont val="Cambria"/>
        <family val="1"/>
        <charset val="204"/>
        <scheme val="major"/>
      </rPr>
      <t>ncome</t>
    </r>
  </si>
  <si>
    <t>Other Income</t>
  </si>
  <si>
    <t>EBT</t>
  </si>
  <si>
    <t>Income Taxes</t>
  </si>
  <si>
    <t>Net Income, Consloidated</t>
  </si>
  <si>
    <t>Non-Controlling Interests</t>
  </si>
  <si>
    <t>Shareholder's Equity</t>
  </si>
  <si>
    <t>Equity, Beg. of year</t>
  </si>
  <si>
    <r>
      <rPr>
        <b/>
        <sz val="10"/>
        <rFont val="Cambria"/>
        <family val="1"/>
        <charset val="204"/>
        <scheme val="major"/>
      </rPr>
      <t>Net income</t>
    </r>
  </si>
  <si>
    <t>Change in Currency Translation</t>
  </si>
  <si>
    <t>Change in Cash Flow Hedges</t>
  </si>
  <si>
    <t>Change in other gains</t>
  </si>
  <si>
    <t>Other Comprehensive Income</t>
  </si>
  <si>
    <t>Comprehensive income</t>
  </si>
  <si>
    <r>
      <rPr>
        <b/>
        <sz val="10"/>
        <rFont val="Cambria"/>
        <family val="1"/>
        <charset val="204"/>
        <scheme val="major"/>
      </rPr>
      <t>Stock based compensation</t>
    </r>
  </si>
  <si>
    <t>Conversion to Class B Stock</t>
  </si>
  <si>
    <r>
      <rPr>
        <b/>
        <sz val="10"/>
        <rFont val="Cambria"/>
        <family val="1"/>
        <charset val="204"/>
        <scheme val="major"/>
      </rPr>
      <t>Stock options exerased</t>
    </r>
  </si>
  <si>
    <t>Issuance of Shares to Emp. Net</t>
  </si>
  <si>
    <t>Repurchases of common stock</t>
  </si>
  <si>
    <r>
      <rPr>
        <b/>
        <sz val="10"/>
        <rFont val="Cambria"/>
        <family val="1"/>
        <charset val="204"/>
        <scheme val="major"/>
      </rPr>
      <t>Cash dividends declared</t>
    </r>
  </si>
  <si>
    <t>Adoptions</t>
  </si>
  <si>
    <t>Acquisition of non-controlling</t>
  </si>
  <si>
    <t>Equity, end of year</t>
  </si>
  <si>
    <t>Cash &amp; Equivalents</t>
  </si>
  <si>
    <t>Short-term Investments</t>
  </si>
  <si>
    <t>Accounts Receivables</t>
  </si>
  <si>
    <t>Merchandise Inventories</t>
  </si>
  <si>
    <t>Other Current Assets</t>
  </si>
  <si>
    <t>Total Current Assets</t>
  </si>
  <si>
    <t>PPE Net</t>
  </si>
  <si>
    <t>Operating Lease Right-of-Use Asset</t>
  </si>
  <si>
    <t>Identifable Intangible Assets</t>
  </si>
  <si>
    <t>Goodwill</t>
  </si>
  <si>
    <t xml:space="preserve">Other Non-Current Assets </t>
  </si>
  <si>
    <t>Total Assets</t>
  </si>
  <si>
    <t>Liabilities</t>
  </si>
  <si>
    <t>Accounts Payable</t>
  </si>
  <si>
    <t>Notes Payable</t>
  </si>
  <si>
    <t>Accrued Liabilities</t>
  </si>
  <si>
    <t>Income Tax Payable</t>
  </si>
  <si>
    <t>Current Portion of Long-Term Debt</t>
  </si>
  <si>
    <t>Current Portion of Operating Leases</t>
  </si>
  <si>
    <t>Other Current Liabilities</t>
  </si>
  <si>
    <t>Total current liabilities</t>
  </si>
  <si>
    <t>Long-Term Debt</t>
  </si>
  <si>
    <t>Capital Leases</t>
  </si>
  <si>
    <t>Other Long-Term liabilities</t>
  </si>
  <si>
    <t>Total liabilities</t>
  </si>
  <si>
    <t>Shareholders Equity</t>
  </si>
  <si>
    <t xml:space="preserve">Total shareholders' equity </t>
  </si>
  <si>
    <t xml:space="preserve">Total liabilities and equities. </t>
  </si>
  <si>
    <r>
      <rPr>
        <b/>
        <sz val="10"/>
        <color rgb="FF23261F"/>
        <rFont val="Cambria"/>
        <family val="1"/>
        <charset val="204"/>
        <scheme val="major"/>
      </rPr>
      <t>Land,Building</t>
    </r>
    <r>
      <rPr>
        <b/>
        <sz val="10"/>
        <color rgb="FF42483F"/>
        <rFont val="Cambria"/>
        <family val="1"/>
        <charset val="204"/>
        <scheme val="major"/>
      </rPr>
      <t xml:space="preserve">s, </t>
    </r>
    <r>
      <rPr>
        <b/>
        <sz val="10"/>
        <color rgb="FF31382F"/>
        <rFont val="Cambria"/>
        <family val="1"/>
        <charset val="204"/>
        <scheme val="major"/>
      </rPr>
      <t xml:space="preserve">and </t>
    </r>
    <r>
      <rPr>
        <b/>
        <sz val="10"/>
        <color rgb="FF23261F"/>
        <rFont val="Cambria"/>
        <family val="1"/>
        <charset val="204"/>
        <scheme val="major"/>
      </rPr>
      <t xml:space="preserve">Equipment </t>
    </r>
    <r>
      <rPr>
        <b/>
        <sz val="10"/>
        <color rgb="FF31382F"/>
        <rFont val="Cambria"/>
        <family val="1"/>
        <charset val="204"/>
        <scheme val="major"/>
      </rPr>
      <t>(GPPEQ)</t>
    </r>
  </si>
  <si>
    <r>
      <rPr>
        <sz val="10"/>
        <color rgb="FF42483F"/>
        <rFont val="Cambria"/>
        <family val="1"/>
        <charset val="204"/>
        <scheme val="major"/>
      </rPr>
      <t xml:space="preserve">Beginning balance </t>
    </r>
    <r>
      <rPr>
        <sz val="10"/>
        <color rgb="FF565954"/>
        <rFont val="Cambria"/>
        <family val="1"/>
        <charset val="204"/>
        <scheme val="major"/>
      </rPr>
      <t>(BB)</t>
    </r>
  </si>
  <si>
    <r>
      <rPr>
        <sz val="10"/>
        <color rgb="FF42483F"/>
        <rFont val="Cambria"/>
        <family val="1"/>
        <charset val="204"/>
        <scheme val="major"/>
      </rPr>
      <t>Cap</t>
    </r>
    <r>
      <rPr>
        <sz val="10"/>
        <color rgb="FF23261F"/>
        <rFont val="Cambria"/>
        <family val="1"/>
        <charset val="204"/>
        <scheme val="major"/>
      </rPr>
      <t>it</t>
    </r>
    <r>
      <rPr>
        <sz val="10"/>
        <color rgb="FF42483F"/>
        <rFont val="Cambria"/>
        <family val="1"/>
        <charset val="204"/>
        <scheme val="major"/>
      </rPr>
      <t>al Expend</t>
    </r>
    <r>
      <rPr>
        <sz val="10"/>
        <color rgb="FF23261F"/>
        <rFont val="Cambria"/>
        <family val="1"/>
        <charset val="204"/>
        <scheme val="major"/>
      </rPr>
      <t>i</t>
    </r>
    <r>
      <rPr>
        <sz val="10"/>
        <color rgb="FF565954"/>
        <rFont val="Cambria"/>
        <family val="1"/>
        <charset val="204"/>
        <scheme val="major"/>
      </rPr>
      <t xml:space="preserve">tures </t>
    </r>
  </si>
  <si>
    <t>Currency &amp; Unexplained Changes</t>
  </si>
  <si>
    <t xml:space="preserve">Depreciation Expense </t>
  </si>
  <si>
    <r>
      <rPr>
        <b/>
        <sz val="10"/>
        <color rgb="FF42483F"/>
        <rFont val="Cambria"/>
        <family val="1"/>
        <charset val="204"/>
        <scheme val="major"/>
      </rPr>
      <t xml:space="preserve">Net </t>
    </r>
    <r>
      <rPr>
        <b/>
        <sz val="10"/>
        <color rgb="FF565954"/>
        <rFont val="Cambria"/>
        <family val="1"/>
        <charset val="204"/>
        <scheme val="major"/>
      </rPr>
      <t>property, plant, and equipment</t>
    </r>
  </si>
  <si>
    <t>USA</t>
  </si>
  <si>
    <t>Forign</t>
  </si>
  <si>
    <t>Tax Reconciliation Table</t>
  </si>
  <si>
    <t>Federal</t>
  </si>
  <si>
    <t>State</t>
  </si>
  <si>
    <t>Foreign</t>
  </si>
  <si>
    <t>Total Current Taxes</t>
  </si>
  <si>
    <t>Operational Tax Rate</t>
  </si>
  <si>
    <t>Federal Deferred</t>
  </si>
  <si>
    <t>State Defferred</t>
  </si>
  <si>
    <t>Foreign Deferred</t>
  </si>
  <si>
    <t>Total Deferred</t>
  </si>
  <si>
    <t>Total Income Tax Expenses</t>
  </si>
  <si>
    <t>Fedral Income Tax Rate</t>
  </si>
  <si>
    <t>State Taxes, net federal benefit</t>
  </si>
  <si>
    <t>Foreign earnings</t>
  </si>
  <si>
    <t>Tax Act Transition</t>
  </si>
  <si>
    <t>Remeasurement defered tax act</t>
  </si>
  <si>
    <t>subpart f deferred tax benefit</t>
  </si>
  <si>
    <t>Foreign-derived intangible income benefit</t>
  </si>
  <si>
    <t>Excess tax benefit from stock based compensation</t>
  </si>
  <si>
    <t>Income tax audits and contingency reserves</t>
  </si>
  <si>
    <t>Resolution of USA tax matter</t>
  </si>
  <si>
    <t>U.S. research an developmen tax credit</t>
  </si>
  <si>
    <t>Other, net</t>
  </si>
  <si>
    <t>Effective Rate</t>
  </si>
  <si>
    <t>R&amp;D</t>
  </si>
  <si>
    <t>R&amp;D Investments</t>
  </si>
  <si>
    <t>R&amp;D Expenditures</t>
  </si>
  <si>
    <t>R&amp;D Net</t>
  </si>
  <si>
    <t>Goodwill and Acquired  Intangibles</t>
  </si>
  <si>
    <t>G&amp;AI</t>
  </si>
  <si>
    <t>G&amp;AI Expenditures</t>
  </si>
  <si>
    <t>G&amp;AI Net</t>
  </si>
  <si>
    <t>Growth</t>
  </si>
  <si>
    <t>Net Icome</t>
  </si>
  <si>
    <t>Long-Term Operating Lease</t>
  </si>
  <si>
    <t>PPE</t>
  </si>
  <si>
    <t>R&amp;D Depreciation</t>
  </si>
  <si>
    <t>Taxes</t>
  </si>
  <si>
    <t>Amortization of Intangibles (CF)</t>
  </si>
  <si>
    <t>შემოსავლის ზრდის პარამეტრები</t>
  </si>
  <si>
    <t>არამატერიალური აქტივები არ არის გამიჯნული თავიდან</t>
  </si>
  <si>
    <t>სხვა მიმდინარე აქტივები იქნება ჩასასმელი სისტემაში</t>
  </si>
  <si>
    <t>დივიდენდები და სხვა მიმოქცევა დავგეგმე უცვლელი</t>
  </si>
  <si>
    <t>მიმდინარე ვალდებულებებიც დაჯგუფებულია</t>
  </si>
  <si>
    <t>Operating taxes</t>
  </si>
  <si>
    <t>საგადასახადო განაკვეთი იქნება გასასწორებელი</t>
  </si>
  <si>
    <t>სესხის და კაპიტალის ექვივალენტების სია</t>
  </si>
  <si>
    <t>Capital expenditures, net of disposals</t>
  </si>
  <si>
    <t>Years</t>
  </si>
  <si>
    <t>ROIC</t>
  </si>
  <si>
    <t>IC</t>
  </si>
  <si>
    <t>NOPAT growth</t>
  </si>
  <si>
    <t>NOPAT at CV</t>
  </si>
  <si>
    <t>IC Ex. Goodwill</t>
  </si>
  <si>
    <t>საჭირო ქეშის გამიჯვნა</t>
  </si>
  <si>
    <t>PPE-საჭიროა ამორტიზაციის დაგეგმვა</t>
  </si>
  <si>
    <t>ბალანსი</t>
  </si>
  <si>
    <t>მოგებაზარალი</t>
  </si>
  <si>
    <t>პროცენტი და სხვა შემოსავალ გასავალი</t>
  </si>
  <si>
    <t>სხვები</t>
  </si>
  <si>
    <t>Cash required</t>
  </si>
  <si>
    <t>Excess cash</t>
  </si>
  <si>
    <t>Change in excess cash</t>
  </si>
  <si>
    <t>Other current assets</t>
  </si>
  <si>
    <t>საოპერაციო ლიზინგი?</t>
  </si>
  <si>
    <t>Sales &amp; Administration</t>
  </si>
  <si>
    <t>კოგსი და ადმინისტრაციის გამიჯვნა</t>
  </si>
  <si>
    <t>Goodwill &amp; Acquired intangibles</t>
  </si>
  <si>
    <t>Change in Operating Lease assets</t>
  </si>
  <si>
    <t>გუდვილი და სხვა ვალდებულებები გასამინია</t>
  </si>
  <si>
    <t>Interest Income</t>
  </si>
  <si>
    <t>Non Operating exp/revs</t>
  </si>
  <si>
    <t>2019-2023</t>
  </si>
  <si>
    <t>sum</t>
  </si>
  <si>
    <t>ამორტიზირებული არამატერიალური აქტივების დამატება:</t>
  </si>
  <si>
    <t>შემოწმებები</t>
  </si>
  <si>
    <t>პროგნოზების ციფრები, - საშუალოების ადეკვატურია?</t>
  </si>
  <si>
    <t>მთლიანი ამორტიზირებული ბალანსის აქტივებში</t>
  </si>
  <si>
    <t>ბოლო ისტორიულის - მოგებაზარალში</t>
  </si>
  <si>
    <t>ხარჯების პროგნოზების გადამოწმება ცვლილების გამო</t>
  </si>
  <si>
    <t>ბოლო ისტორიულის გარდა ექუითის - საწყის ექუითიში</t>
  </si>
  <si>
    <t>Short-term debt (Int. Bearings)</t>
  </si>
  <si>
    <t xml:space="preserve">Operationg Lease Liabilities </t>
  </si>
  <si>
    <t>Long-term debt &amp; cap. Lease</t>
  </si>
  <si>
    <t xml:space="preserve">Current Operationg Lease Liabilities </t>
  </si>
  <si>
    <t>Long-term operation lease liabilities</t>
  </si>
  <si>
    <t>Other long term liabilities</t>
  </si>
  <si>
    <t>EBITA unadjusted</t>
  </si>
  <si>
    <t>Operation Lease Interest</t>
  </si>
  <si>
    <t>EBITA</t>
  </si>
  <si>
    <t>გადასახადების განაკვეთის დაკორექტირება</t>
  </si>
  <si>
    <t>მიზნობრივი ლევერეჯი</t>
  </si>
  <si>
    <t>Current Debt &amp; (Bil $)</t>
  </si>
  <si>
    <t>Debt &amp; Eq.</t>
  </si>
  <si>
    <t>Short Debt</t>
  </si>
  <si>
    <t>Short Lease</t>
  </si>
  <si>
    <t>Long Debt</t>
  </si>
  <si>
    <t>Long Lease</t>
  </si>
  <si>
    <t>D/(D+E)</t>
  </si>
  <si>
    <t>Debt &amp;</t>
  </si>
  <si>
    <t>Debt growth</t>
  </si>
  <si>
    <t>Target Lev.</t>
  </si>
  <si>
    <t>Seek</t>
  </si>
  <si>
    <t>Change in operating lease liabilities</t>
  </si>
  <si>
    <t>Change in other long assets net liabilities</t>
  </si>
  <si>
    <t>Value of Debt &amp; Equivalents</t>
  </si>
  <si>
    <t>NI at CV</t>
  </si>
  <si>
    <t>NI growth</t>
  </si>
  <si>
    <t>CV - FCF</t>
  </si>
  <si>
    <t>Current Proportion</t>
  </si>
  <si>
    <t>Beta Chart:</t>
  </si>
  <si>
    <t>https://www.zacks.com/stock/chart/NKE/fundamental/beta</t>
  </si>
  <si>
    <t>Risk Free Rate</t>
  </si>
  <si>
    <t>Target Proportion Adjusted Beta</t>
  </si>
  <si>
    <t>Target Proportion - Relevered CoE</t>
  </si>
  <si>
    <t>CoD</t>
  </si>
  <si>
    <t>Tax Rate</t>
  </si>
  <si>
    <t>D/E</t>
  </si>
  <si>
    <t>Current</t>
  </si>
  <si>
    <t>CF at CV</t>
  </si>
  <si>
    <t>CF growth</t>
  </si>
  <si>
    <t>CF Growtj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</si>
</sst>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43" formatCode="_(* #,##0.00_);_(* \(#,##0.00\);_(* &quot;-&quot;??_);_(@_)"/>
    <numFmt numFmtId="164" formatCode="#,##0;#,##0"/>
    <numFmt numFmtId="165" formatCode="_(&quot;$&quot;* #,##0_);_(&quot;$&quot;* \(#,##0\);_(&quot;$&quot;* &quot;-&quot;??_);_(@_)"/>
    <numFmt numFmtId="166" formatCode="0.0%"/>
    <numFmt numFmtId="167" formatCode="_([$$-409]* #,##0.00_);_([$$-409]* \(#,##0.00\);_([$$-409]* &quot;-&quot;??_);_(@_)"/>
    <numFmt numFmtId="168" formatCode="_(* #,##0.000_);_(* \(#,##0.000\);_(* &quot;-&quot;??_);_(@_)"/>
    <numFmt numFmtId="169" formatCode="0.000"/>
    <numFmt numFmtId="170" formatCode="###0;###0"/>
    <numFmt numFmtId="171" formatCode="###0.000;###0.000"/>
    <numFmt numFmtId="172" formatCode="_(* #,##0.0_);_(* \(#,##0.0\);_(* &quot;-&quot;??_);_(@_)"/>
    <numFmt numFmtId="173" formatCode="_(&quot;$&quot;* #,##0.0_);_(&quot;$&quot;* \(#,##0.0\);_(&quot;$&quot;* &quot;-&quot;??_);_(@_)"/>
    <numFmt numFmtId="174" formatCode="_(&quot;$&quot;* #,##0.0_);_(&quot;$&quot;* \(#,##0.0\);_(&quot;$&quot;* &quot;-&quot;?_);_(@_)"/>
    <numFmt numFmtId="175" formatCode="_(* #,##0_);_(* \(#,##0\);_(* &quot;-&quot;??_);_(@_)"/>
    <numFmt numFmtId="176" formatCode="_(&quot;$&quot;* #,##0.00000000_);_(&quot;$&quot;* \(#,##0.00000000\);_(&quot;$&quot;* &quot;-&quot;??_);_(@_)"/>
  </numFmts>
  <fonts count="32" x14ac:knownFonts="1">
    <font>
      <sz val="10"/>
      <color rgb="FF000000"/>
      <name val="Times New Roman"/>
      <charset val="204"/>
    </font>
    <font>
      <sz val="11"/>
      <color theme="1"/>
      <name val="Calibri"/>
      <family val="2"/>
      <scheme val="minor"/>
    </font>
    <font>
      <sz val="11"/>
      <color theme="1"/>
      <name val="Calibri"/>
      <family val="2"/>
      <scheme val="minor"/>
    </font>
    <font>
      <sz val="10"/>
      <color rgb="FF000000"/>
      <name val="Times New Roman"/>
      <family val="1"/>
      <charset val="204"/>
    </font>
    <font>
      <sz val="10"/>
      <color theme="1"/>
      <name val="Cambria"/>
      <family val="1"/>
      <charset val="204"/>
      <scheme val="major"/>
    </font>
    <font>
      <sz val="10"/>
      <color rgb="FF000000"/>
      <name val="Cambria"/>
      <family val="1"/>
      <charset val="204"/>
      <scheme val="major"/>
    </font>
    <font>
      <b/>
      <sz val="10"/>
      <name val="Cambria"/>
      <family val="1"/>
      <charset val="204"/>
      <scheme val="major"/>
    </font>
    <font>
      <sz val="10"/>
      <name val="Cambria"/>
      <family val="1"/>
      <charset val="204"/>
      <scheme val="major"/>
    </font>
    <font>
      <u/>
      <sz val="10"/>
      <color theme="10"/>
      <name val="Times New Roman"/>
      <family val="1"/>
      <charset val="204"/>
    </font>
    <font>
      <b/>
      <sz val="9"/>
      <color indexed="81"/>
      <name val="Tahoma"/>
      <family val="2"/>
      <charset val="204"/>
    </font>
    <font>
      <sz val="9"/>
      <color indexed="81"/>
      <name val="Tahoma"/>
      <family val="2"/>
      <charset val="204"/>
    </font>
    <font>
      <sz val="10"/>
      <color rgb="FF000000"/>
      <name val="Times New Roman"/>
      <family val="1"/>
      <charset val="204"/>
    </font>
    <font>
      <b/>
      <sz val="10"/>
      <name val="Times New Roman"/>
      <family val="1"/>
      <charset val="204"/>
    </font>
    <font>
      <b/>
      <sz val="10"/>
      <color rgb="FF000000"/>
      <name val="Cambria"/>
      <family val="1"/>
      <charset val="204"/>
      <scheme val="major"/>
    </font>
    <font>
      <sz val="10"/>
      <name val="Times New Roman"/>
      <family val="1"/>
      <charset val="204"/>
    </font>
    <font>
      <sz val="10"/>
      <color rgb="FF282D26"/>
      <name val="Cambria"/>
      <family val="1"/>
      <charset val="204"/>
      <scheme val="major"/>
    </font>
    <font>
      <sz val="10"/>
      <color rgb="FF3A3D3A"/>
      <name val="Cambria"/>
      <family val="1"/>
      <charset val="204"/>
      <scheme val="major"/>
    </font>
    <font>
      <sz val="10"/>
      <color rgb="FF111613"/>
      <name val="Cambria"/>
      <family val="1"/>
      <charset val="204"/>
      <scheme val="major"/>
    </font>
    <font>
      <b/>
      <sz val="10"/>
      <color rgb="FF3A3D3A"/>
      <name val="Cambria"/>
      <family val="1"/>
      <charset val="204"/>
      <scheme val="major"/>
    </font>
    <font>
      <b/>
      <sz val="10"/>
      <color rgb="FF676E6B"/>
      <name val="Cambria"/>
      <family val="1"/>
      <charset val="204"/>
      <scheme val="major"/>
    </font>
    <font>
      <sz val="10"/>
      <color rgb="FF52564F"/>
      <name val="Cambria"/>
      <family val="1"/>
      <charset val="204"/>
      <scheme val="major"/>
    </font>
    <font>
      <b/>
      <sz val="10"/>
      <color theme="1"/>
      <name val="Cambria"/>
      <family val="1"/>
      <charset val="204"/>
      <scheme val="major"/>
    </font>
    <font>
      <b/>
      <sz val="10"/>
      <color rgb="FF23261F"/>
      <name val="Cambria"/>
      <family val="1"/>
      <charset val="204"/>
      <scheme val="major"/>
    </font>
    <font>
      <b/>
      <sz val="10"/>
      <color rgb="FF42483F"/>
      <name val="Cambria"/>
      <family val="1"/>
      <charset val="204"/>
      <scheme val="major"/>
    </font>
    <font>
      <b/>
      <sz val="10"/>
      <color rgb="FF31382F"/>
      <name val="Cambria"/>
      <family val="1"/>
      <charset val="204"/>
      <scheme val="major"/>
    </font>
    <font>
      <sz val="10"/>
      <color rgb="FF42483F"/>
      <name val="Cambria"/>
      <family val="1"/>
      <charset val="204"/>
      <scheme val="major"/>
    </font>
    <font>
      <sz val="10"/>
      <color rgb="FF565954"/>
      <name val="Cambria"/>
      <family val="1"/>
      <charset val="204"/>
      <scheme val="major"/>
    </font>
    <font>
      <sz val="10"/>
      <color rgb="FF23261F"/>
      <name val="Cambria"/>
      <family val="1"/>
      <charset val="204"/>
      <scheme val="major"/>
    </font>
    <font>
      <b/>
      <sz val="10"/>
      <color rgb="FF565954"/>
      <name val="Cambria"/>
      <family val="1"/>
      <charset val="204"/>
      <scheme val="major"/>
    </font>
    <font>
      <sz val="10"/>
      <color theme="0"/>
      <name val="Cambria"/>
      <family val="1"/>
      <charset val="204"/>
      <scheme val="major"/>
    </font>
    <font>
      <strike/>
      <sz val="10"/>
      <color rgb="FF000000"/>
      <name val="Times New Roman"/>
      <family val="1"/>
      <charset val="204"/>
    </font>
    <font>
      <sz val="10"/>
      <color rgb="FFFF0000"/>
      <name val="Cambria"/>
      <family val="1"/>
      <charset val="204"/>
      <scheme val="major"/>
    </font>
  </fonts>
  <fills count="13">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2"/>
        <bgColor indexed="64"/>
      </patternFill>
    </fill>
    <fill>
      <patternFill patternType="solid">
        <fgColor rgb="FFFF0000"/>
        <bgColor indexed="64"/>
      </patternFill>
    </fill>
  </fills>
  <borders count="40">
    <border>
      <left/>
      <right/>
      <top/>
      <bottom/>
      <diagonal/>
    </border>
    <border>
      <left/>
      <right/>
      <top/>
      <bottom style="thin">
        <color rgb="FF777777"/>
      </bottom>
      <diagonal/>
    </border>
    <border>
      <left/>
      <right/>
      <top style="thin">
        <color rgb="FF777777"/>
      </top>
      <bottom/>
      <diagonal/>
    </border>
    <border>
      <left/>
      <right/>
      <top/>
      <bottom style="thin">
        <color rgb="FF343434"/>
      </bottom>
      <diagonal/>
    </border>
    <border>
      <left/>
      <right/>
      <top style="thin">
        <color rgb="FF343434"/>
      </top>
      <bottom/>
      <diagonal/>
    </border>
    <border>
      <left/>
      <right/>
      <top style="thin">
        <color indexed="64"/>
      </top>
      <bottom style="thin">
        <color indexed="64"/>
      </bottom>
      <diagonal/>
    </border>
    <border>
      <left/>
      <right/>
      <top/>
      <bottom style="thin">
        <color indexed="64"/>
      </bottom>
      <diagonal/>
    </border>
    <border>
      <left/>
      <right/>
      <top style="thin">
        <color indexed="64"/>
      </top>
      <bottom style="double">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top style="medium">
        <color indexed="64"/>
      </top>
      <bottom style="thin">
        <color rgb="FF343434"/>
      </bottom>
      <diagonal/>
    </border>
    <border>
      <left/>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2">
    <xf numFmtId="0" fontId="0"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8" fillId="0" borderId="0" applyNumberFormat="0" applyFill="0" applyBorder="0" applyAlignment="0" applyProtection="0"/>
    <xf numFmtId="0" fontId="2" fillId="0" borderId="0"/>
    <xf numFmtId="43" fontId="3" fillId="0" borderId="0" applyFon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cellStyleXfs>
  <cellXfs count="348">
    <xf numFmtId="0" fontId="0" fillId="0" borderId="0" xfId="0" applyAlignment="1">
      <alignment horizontal="left" vertical="top"/>
    </xf>
    <xf numFmtId="0" fontId="3" fillId="0" borderId="0" xfId="2" applyAlignment="1">
      <alignment horizontal="left" vertical="top"/>
    </xf>
    <xf numFmtId="0" fontId="5" fillId="0" borderId="0" xfId="2" applyFont="1" applyAlignment="1">
      <alignment horizontal="left" vertical="top"/>
    </xf>
    <xf numFmtId="0" fontId="6" fillId="0" borderId="0" xfId="2" applyFont="1" applyAlignment="1">
      <alignment horizontal="left" vertical="top"/>
    </xf>
    <xf numFmtId="0" fontId="7" fillId="0" borderId="2" xfId="2" applyFont="1" applyBorder="1" applyAlignment="1">
      <alignment horizontal="left" vertical="top" wrapText="1"/>
    </xf>
    <xf numFmtId="0" fontId="7" fillId="0" borderId="0" xfId="2" applyFont="1" applyAlignment="1">
      <alignment horizontal="left" vertical="top" wrapText="1"/>
    </xf>
    <xf numFmtId="0" fontId="7" fillId="0" borderId="0" xfId="2" applyFont="1" applyAlignment="1">
      <alignment horizontal="left" vertical="center" wrapText="1"/>
    </xf>
    <xf numFmtId="0" fontId="6" fillId="0" borderId="0" xfId="2" applyFont="1" applyAlignment="1">
      <alignment horizontal="left" vertical="top" wrapText="1"/>
    </xf>
    <xf numFmtId="0" fontId="7" fillId="0" borderId="6" xfId="2" applyFont="1" applyBorder="1" applyAlignment="1">
      <alignment horizontal="left" vertical="top" wrapText="1"/>
    </xf>
    <xf numFmtId="0" fontId="7" fillId="0" borderId="7" xfId="2" applyFont="1" applyBorder="1" applyAlignment="1">
      <alignment horizontal="left" vertical="top" wrapText="1"/>
    </xf>
    <xf numFmtId="0" fontId="6" fillId="0" borderId="7" xfId="2" applyFont="1" applyBorder="1" applyAlignment="1">
      <alignment horizontal="left" vertical="top" wrapText="1"/>
    </xf>
    <xf numFmtId="44" fontId="7" fillId="0" borderId="0" xfId="1" applyFont="1" applyAlignment="1">
      <alignment horizontal="left" vertical="top" wrapText="1"/>
    </xf>
    <xf numFmtId="44" fontId="7" fillId="0" borderId="3" xfId="1" applyFont="1" applyBorder="1" applyAlignment="1">
      <alignment horizontal="left" vertical="top" wrapText="1"/>
    </xf>
    <xf numFmtId="0" fontId="7" fillId="0" borderId="0" xfId="2" applyFont="1" applyAlignment="1">
      <alignment horizontal="left" vertical="top"/>
    </xf>
    <xf numFmtId="0" fontId="6" fillId="5" borderId="5" xfId="0" applyFont="1" applyFill="1" applyBorder="1" applyAlignment="1">
      <alignment horizontal="left" vertical="center" wrapText="1"/>
    </xf>
    <xf numFmtId="0" fontId="6" fillId="5" borderId="5" xfId="0" applyFont="1" applyFill="1" applyBorder="1" applyAlignment="1">
      <alignment horizontal="center" vertical="center" wrapText="1"/>
    </xf>
    <xf numFmtId="0" fontId="6" fillId="4" borderId="5" xfId="0" applyFont="1" applyFill="1" applyBorder="1" applyAlignment="1">
      <alignment horizontal="left" vertical="center" wrapText="1"/>
    </xf>
    <xf numFmtId="0" fontId="6" fillId="4" borderId="5" xfId="0" applyFont="1" applyFill="1" applyBorder="1" applyAlignment="1">
      <alignment horizontal="center" vertical="center" wrapText="1"/>
    </xf>
    <xf numFmtId="44" fontId="7" fillId="0" borderId="0" xfId="2" applyNumberFormat="1" applyFont="1" applyAlignment="1">
      <alignment horizontal="left" vertical="top"/>
    </xf>
    <xf numFmtId="44" fontId="7" fillId="0" borderId="0" xfId="1" applyFont="1" applyBorder="1" applyAlignment="1">
      <alignment horizontal="left" vertical="center" wrapText="1"/>
    </xf>
    <xf numFmtId="0" fontId="6" fillId="3" borderId="5" xfId="0" applyFont="1" applyFill="1" applyBorder="1" applyAlignment="1">
      <alignment horizontal="left" vertical="center" wrapText="1"/>
    </xf>
    <xf numFmtId="0" fontId="6" fillId="3" borderId="5" xfId="0" applyFont="1" applyFill="1" applyBorder="1" applyAlignment="1">
      <alignment horizontal="center" vertical="center" wrapText="1"/>
    </xf>
    <xf numFmtId="0" fontId="7" fillId="0" borderId="0" xfId="0" applyFont="1" applyAlignment="1">
      <alignment horizontal="left" vertical="top"/>
    </xf>
    <xf numFmtId="0" fontId="7" fillId="0" borderId="0" xfId="0" applyFont="1" applyAlignment="1">
      <alignment horizontal="left" vertical="top" wrapText="1"/>
    </xf>
    <xf numFmtId="44" fontId="7" fillId="0" borderId="0" xfId="1" applyFont="1" applyBorder="1" applyAlignment="1">
      <alignment horizontal="left" vertical="top" wrapText="1"/>
    </xf>
    <xf numFmtId="0" fontId="7" fillId="0" borderId="6" xfId="0" applyFont="1" applyBorder="1" applyAlignment="1">
      <alignment horizontal="left" vertical="top" wrapText="1"/>
    </xf>
    <xf numFmtId="44" fontId="7" fillId="0" borderId="6" xfId="1" applyFont="1" applyBorder="1" applyAlignment="1">
      <alignment horizontal="left" vertical="top" wrapText="1"/>
    </xf>
    <xf numFmtId="0" fontId="7" fillId="0" borderId="5" xfId="2" applyFont="1" applyBorder="1" applyAlignment="1">
      <alignment horizontal="left" vertical="top" wrapText="1"/>
    </xf>
    <xf numFmtId="0" fontId="7" fillId="0" borderId="6" xfId="2" applyFont="1" applyBorder="1" applyAlignment="1">
      <alignment horizontal="left" vertical="center" wrapText="1"/>
    </xf>
    <xf numFmtId="0" fontId="6" fillId="0" borderId="7" xfId="0" applyFont="1" applyBorder="1" applyAlignment="1">
      <alignment horizontal="left" vertical="top" wrapText="1"/>
    </xf>
    <xf numFmtId="44" fontId="6" fillId="0" borderId="7" xfId="1" applyFont="1" applyBorder="1" applyAlignment="1">
      <alignment horizontal="left" vertical="top" wrapText="1"/>
    </xf>
    <xf numFmtId="0" fontId="7" fillId="0" borderId="4" xfId="2" applyFont="1" applyBorder="1" applyAlignment="1">
      <alignment horizontal="left" vertical="top" wrapText="1"/>
    </xf>
    <xf numFmtId="0" fontId="5" fillId="0" borderId="8" xfId="2" applyFont="1" applyBorder="1" applyAlignment="1">
      <alignment horizontal="left" vertical="top"/>
    </xf>
    <xf numFmtId="0" fontId="5" fillId="0" borderId="6" xfId="2" applyFont="1" applyBorder="1" applyAlignment="1">
      <alignment horizontal="left" vertical="top"/>
    </xf>
    <xf numFmtId="0" fontId="5" fillId="0" borderId="7" xfId="2" applyFont="1" applyBorder="1" applyAlignment="1">
      <alignment horizontal="left" vertical="top"/>
    </xf>
    <xf numFmtId="3" fontId="4" fillId="7" borderId="6" xfId="5" applyNumberFormat="1" applyFont="1" applyFill="1" applyBorder="1" applyAlignment="1">
      <alignment horizontal="right"/>
    </xf>
    <xf numFmtId="0" fontId="4" fillId="0" borderId="0" xfId="5" applyFont="1"/>
    <xf numFmtId="0" fontId="4" fillId="0" borderId="12" xfId="5" applyFont="1" applyBorder="1"/>
    <xf numFmtId="0" fontId="5" fillId="0" borderId="12" xfId="2" applyFont="1" applyBorder="1" applyAlignment="1">
      <alignment horizontal="left" vertical="top"/>
    </xf>
    <xf numFmtId="10" fontId="5" fillId="0" borderId="13" xfId="2" applyNumberFormat="1" applyFont="1" applyBorder="1" applyAlignment="1">
      <alignment horizontal="right" vertical="center"/>
    </xf>
    <xf numFmtId="0" fontId="8" fillId="0" borderId="0" xfId="4" applyAlignment="1">
      <alignment horizontal="left" vertical="top"/>
    </xf>
    <xf numFmtId="0" fontId="4" fillId="0" borderId="14" xfId="5" applyFont="1" applyBorder="1"/>
    <xf numFmtId="0" fontId="4" fillId="0" borderId="8" xfId="5" applyFont="1" applyBorder="1"/>
    <xf numFmtId="4" fontId="4" fillId="0" borderId="10" xfId="5" applyNumberFormat="1" applyFont="1" applyBorder="1" applyAlignment="1">
      <alignment horizontal="right"/>
    </xf>
    <xf numFmtId="166" fontId="4" fillId="0" borderId="10" xfId="3" applyNumberFormat="1" applyFont="1" applyBorder="1" applyAlignment="1">
      <alignment horizontal="right"/>
    </xf>
    <xf numFmtId="166" fontId="4" fillId="0" borderId="15" xfId="3" applyNumberFormat="1" applyFont="1" applyBorder="1" applyAlignment="1">
      <alignment horizontal="right"/>
    </xf>
    <xf numFmtId="4" fontId="5" fillId="0" borderId="10" xfId="2" applyNumberFormat="1" applyFont="1" applyBorder="1" applyAlignment="1">
      <alignment horizontal="right" vertical="top"/>
    </xf>
    <xf numFmtId="0" fontId="4" fillId="0" borderId="9" xfId="5" applyFont="1" applyBorder="1"/>
    <xf numFmtId="166" fontId="4" fillId="0" borderId="11" xfId="3" applyNumberFormat="1" applyFont="1" applyBorder="1" applyAlignment="1">
      <alignment horizontal="right"/>
    </xf>
    <xf numFmtId="10" fontId="5" fillId="0" borderId="10" xfId="2" applyNumberFormat="1" applyFont="1" applyBorder="1" applyAlignment="1">
      <alignment horizontal="right" vertical="top"/>
    </xf>
    <xf numFmtId="0" fontId="5" fillId="0" borderId="9" xfId="2" applyFont="1" applyBorder="1" applyAlignment="1">
      <alignment horizontal="left" vertical="top"/>
    </xf>
    <xf numFmtId="10" fontId="5" fillId="0" borderId="11" xfId="3" applyNumberFormat="1" applyFont="1" applyBorder="1" applyAlignment="1">
      <alignment horizontal="right" vertical="center"/>
    </xf>
    <xf numFmtId="0" fontId="5" fillId="0" borderId="13" xfId="2" applyFont="1" applyBorder="1" applyAlignment="1">
      <alignment horizontal="right" vertical="center"/>
    </xf>
    <xf numFmtId="0" fontId="4" fillId="0" borderId="16" xfId="5" applyFont="1" applyBorder="1"/>
    <xf numFmtId="167" fontId="4" fillId="0" borderId="17" xfId="5" applyNumberFormat="1" applyFont="1" applyBorder="1" applyAlignment="1">
      <alignment horizontal="right"/>
    </xf>
    <xf numFmtId="0" fontId="5" fillId="7" borderId="6" xfId="2" applyFont="1" applyFill="1" applyBorder="1" applyAlignment="1">
      <alignment horizontal="left" vertical="center" wrapText="1"/>
    </xf>
    <xf numFmtId="0" fontId="5" fillId="7" borderId="6" xfId="2" applyFont="1" applyFill="1" applyBorder="1" applyAlignment="1">
      <alignment horizontal="right" vertical="center" wrapText="1"/>
    </xf>
    <xf numFmtId="10" fontId="5" fillId="0" borderId="0" xfId="3" applyNumberFormat="1" applyFont="1" applyAlignment="1">
      <alignment horizontal="right" vertical="center"/>
    </xf>
    <xf numFmtId="9" fontId="5" fillId="0" borderId="6" xfId="3" applyFont="1" applyBorder="1" applyAlignment="1">
      <alignment horizontal="right" vertical="center"/>
    </xf>
    <xf numFmtId="10" fontId="5" fillId="0" borderId="6" xfId="3" applyNumberFormat="1" applyFont="1" applyBorder="1" applyAlignment="1">
      <alignment horizontal="right" vertical="center"/>
    </xf>
    <xf numFmtId="9" fontId="5" fillId="0" borderId="18" xfId="3" applyFont="1" applyBorder="1" applyAlignment="1">
      <alignment horizontal="right" vertical="center"/>
    </xf>
    <xf numFmtId="168" fontId="0" fillId="0" borderId="0" xfId="6" applyNumberFormat="1" applyFont="1" applyBorder="1" applyAlignment="1">
      <alignment horizontal="left" vertical="top"/>
    </xf>
    <xf numFmtId="0" fontId="3" fillId="0" borderId="6" xfId="2" applyBorder="1" applyAlignment="1">
      <alignment horizontal="left" vertical="top"/>
    </xf>
    <xf numFmtId="165" fontId="3" fillId="0" borderId="6" xfId="2" applyNumberFormat="1" applyBorder="1" applyAlignment="1">
      <alignment horizontal="left" vertical="top"/>
    </xf>
    <xf numFmtId="168" fontId="3" fillId="0" borderId="6" xfId="2" applyNumberFormat="1" applyBorder="1" applyAlignment="1">
      <alignment horizontal="left" vertical="top"/>
    </xf>
    <xf numFmtId="0" fontId="3" fillId="0" borderId="7" xfId="2" applyBorder="1" applyAlignment="1">
      <alignment horizontal="left" vertical="top"/>
    </xf>
    <xf numFmtId="166" fontId="7" fillId="0" borderId="0" xfId="3" applyNumberFormat="1" applyFont="1" applyAlignment="1">
      <alignment vertical="top"/>
    </xf>
    <xf numFmtId="0" fontId="7" fillId="0" borderId="22" xfId="2" applyFont="1" applyBorder="1" applyAlignment="1">
      <alignment horizontal="left" vertical="top" wrapText="1"/>
    </xf>
    <xf numFmtId="166" fontId="7" fillId="0" borderId="22" xfId="3" applyNumberFormat="1" applyFont="1" applyBorder="1" applyAlignment="1">
      <alignment horizontal="right" vertical="center" wrapText="1"/>
    </xf>
    <xf numFmtId="165" fontId="7" fillId="0" borderId="0" xfId="1" applyNumberFormat="1" applyFont="1" applyBorder="1" applyAlignment="1">
      <alignment horizontal="right" vertical="center" wrapText="1"/>
    </xf>
    <xf numFmtId="165" fontId="7" fillId="0" borderId="0" xfId="1" applyNumberFormat="1" applyFont="1" applyAlignment="1">
      <alignment horizontal="left" vertical="top"/>
    </xf>
    <xf numFmtId="9" fontId="7" fillId="0" borderId="0" xfId="3" applyFont="1" applyAlignment="1">
      <alignment horizontal="left" vertical="top"/>
    </xf>
    <xf numFmtId="0" fontId="7" fillId="0" borderId="0" xfId="2" applyFont="1" applyAlignment="1">
      <alignment horizontal="right" vertical="center"/>
    </xf>
    <xf numFmtId="166" fontId="7" fillId="0" borderId="0" xfId="3" applyNumberFormat="1" applyFont="1" applyBorder="1" applyAlignment="1">
      <alignment horizontal="right" vertical="center" wrapText="1"/>
    </xf>
    <xf numFmtId="168" fontId="5" fillId="0" borderId="0" xfId="6" applyNumberFormat="1" applyFont="1" applyBorder="1" applyAlignment="1">
      <alignment horizontal="center" vertical="top"/>
    </xf>
    <xf numFmtId="168" fontId="5" fillId="0" borderId="6" xfId="6" applyNumberFormat="1" applyFont="1" applyBorder="1" applyAlignment="1">
      <alignment horizontal="center" vertical="top"/>
    </xf>
    <xf numFmtId="0" fontId="7" fillId="0" borderId="0" xfId="2" applyFont="1" applyAlignment="1">
      <alignment vertical="top" wrapText="1"/>
    </xf>
    <xf numFmtId="0" fontId="7" fillId="0" borderId="6" xfId="2" applyFont="1" applyBorder="1" applyAlignment="1">
      <alignment vertical="top" wrapText="1"/>
    </xf>
    <xf numFmtId="165" fontId="7" fillId="0" borderId="0" xfId="2" applyNumberFormat="1" applyFont="1" applyAlignment="1">
      <alignment horizontal="left" vertical="top"/>
    </xf>
    <xf numFmtId="0" fontId="7" fillId="0" borderId="7" xfId="2" applyFont="1" applyBorder="1" applyAlignment="1">
      <alignment vertical="top" wrapText="1"/>
    </xf>
    <xf numFmtId="172" fontId="7" fillId="0" borderId="0" xfId="6" applyNumberFormat="1" applyFont="1" applyAlignment="1">
      <alignment horizontal="left" vertical="top"/>
    </xf>
    <xf numFmtId="173" fontId="5" fillId="0" borderId="0" xfId="2" applyNumberFormat="1" applyFont="1" applyAlignment="1">
      <alignment horizontal="right" vertical="center"/>
    </xf>
    <xf numFmtId="166" fontId="5" fillId="0" borderId="0" xfId="3" applyNumberFormat="1" applyFont="1" applyAlignment="1">
      <alignment horizontal="right" vertical="center"/>
    </xf>
    <xf numFmtId="166" fontId="5" fillId="0" borderId="6" xfId="3" applyNumberFormat="1" applyFont="1" applyBorder="1" applyAlignment="1">
      <alignment horizontal="right" vertical="center"/>
    </xf>
    <xf numFmtId="173" fontId="0" fillId="0" borderId="0" xfId="1" applyNumberFormat="1" applyFont="1" applyBorder="1" applyAlignment="1">
      <alignment horizontal="left" vertical="top"/>
    </xf>
    <xf numFmtId="173" fontId="7" fillId="0" borderId="0" xfId="1" applyNumberFormat="1" applyFont="1" applyBorder="1" applyAlignment="1">
      <alignment horizontal="right" vertical="center" wrapText="1"/>
    </xf>
    <xf numFmtId="44" fontId="7" fillId="0" borderId="0" xfId="1" applyFont="1" applyBorder="1" applyAlignment="1">
      <alignment vertical="top" wrapText="1"/>
    </xf>
    <xf numFmtId="44" fontId="7" fillId="0" borderId="6" xfId="1" applyFont="1" applyBorder="1" applyAlignment="1">
      <alignment vertical="top" wrapText="1"/>
    </xf>
    <xf numFmtId="44" fontId="7" fillId="0" borderId="0" xfId="1" applyFont="1" applyFill="1" applyAlignment="1">
      <alignment horizontal="left" vertical="top" wrapText="1"/>
    </xf>
    <xf numFmtId="0" fontId="6" fillId="0" borderId="6" xfId="2" applyFont="1" applyBorder="1" applyAlignment="1">
      <alignment horizontal="left" vertical="top" wrapText="1"/>
    </xf>
    <xf numFmtId="0" fontId="7" fillId="0" borderId="6" xfId="2" applyFont="1" applyBorder="1" applyAlignment="1">
      <alignment horizontal="left" vertical="top"/>
    </xf>
    <xf numFmtId="173" fontId="7" fillId="0" borderId="0" xfId="1" applyNumberFormat="1" applyFont="1" applyBorder="1" applyAlignment="1">
      <alignment vertical="center" wrapText="1"/>
    </xf>
    <xf numFmtId="173" fontId="7" fillId="0" borderId="2" xfId="1" applyNumberFormat="1" applyFont="1" applyBorder="1" applyAlignment="1">
      <alignment horizontal="left" vertical="center" wrapText="1"/>
    </xf>
    <xf numFmtId="173" fontId="7" fillId="0" borderId="0" xfId="1" applyNumberFormat="1" applyFont="1" applyBorder="1" applyAlignment="1">
      <alignment horizontal="left" vertical="center" wrapText="1"/>
    </xf>
    <xf numFmtId="173" fontId="7" fillId="0" borderId="5" xfId="1" applyNumberFormat="1" applyFont="1" applyBorder="1" applyAlignment="1">
      <alignment horizontal="left" vertical="center" wrapText="1"/>
    </xf>
    <xf numFmtId="173" fontId="7" fillId="0" borderId="6" xfId="1" applyNumberFormat="1" applyFont="1" applyBorder="1" applyAlignment="1">
      <alignment horizontal="left" vertical="center" wrapText="1"/>
    </xf>
    <xf numFmtId="173" fontId="6" fillId="0" borderId="7" xfId="1" applyNumberFormat="1" applyFont="1" applyBorder="1" applyAlignment="1">
      <alignment horizontal="left" vertical="center" wrapText="1"/>
    </xf>
    <xf numFmtId="173" fontId="7" fillId="0" borderId="0" xfId="2" applyNumberFormat="1" applyFont="1" applyAlignment="1">
      <alignment horizontal="left" vertical="top"/>
    </xf>
    <xf numFmtId="173" fontId="7" fillId="0" borderId="0" xfId="1" applyNumberFormat="1" applyFont="1" applyAlignment="1">
      <alignment horizontal="left" vertical="center" wrapText="1"/>
    </xf>
    <xf numFmtId="174" fontId="7" fillId="0" borderId="0" xfId="2" applyNumberFormat="1" applyFont="1" applyAlignment="1">
      <alignment horizontal="left" vertical="top"/>
    </xf>
    <xf numFmtId="0" fontId="6" fillId="0" borderId="6" xfId="2" applyFont="1" applyBorder="1" applyAlignment="1">
      <alignment horizontal="left" vertical="center" wrapText="1"/>
    </xf>
    <xf numFmtId="165" fontId="4" fillId="0" borderId="13" xfId="1" applyNumberFormat="1" applyFont="1" applyBorder="1" applyAlignment="1">
      <alignment horizontal="left"/>
    </xf>
    <xf numFmtId="165" fontId="4" fillId="0" borderId="15" xfId="1" applyNumberFormat="1" applyFont="1" applyBorder="1" applyAlignment="1">
      <alignment horizontal="left"/>
    </xf>
    <xf numFmtId="166" fontId="5" fillId="0" borderId="11" xfId="2" applyNumberFormat="1" applyFont="1" applyBorder="1" applyAlignment="1">
      <alignment horizontal="right" vertical="center"/>
    </xf>
    <xf numFmtId="165" fontId="0" fillId="0" borderId="0" xfId="1" applyNumberFormat="1" applyFont="1" applyBorder="1" applyAlignment="1">
      <alignment horizontal="left" vertical="top"/>
    </xf>
    <xf numFmtId="169" fontId="3" fillId="0" borderId="0" xfId="2" applyNumberFormat="1" applyAlignment="1">
      <alignment horizontal="right" vertical="center"/>
    </xf>
    <xf numFmtId="165" fontId="3" fillId="0" borderId="7" xfId="2" applyNumberFormat="1" applyBorder="1" applyAlignment="1">
      <alignment horizontal="left" vertical="top"/>
    </xf>
    <xf numFmtId="172" fontId="0" fillId="0" borderId="0" xfId="6" applyNumberFormat="1" applyFont="1" applyBorder="1" applyAlignment="1">
      <alignment horizontal="left" vertical="top"/>
    </xf>
    <xf numFmtId="0" fontId="12" fillId="0" borderId="7" xfId="2" applyFont="1" applyBorder="1" applyAlignment="1">
      <alignment horizontal="left" vertical="top"/>
    </xf>
    <xf numFmtId="0" fontId="12" fillId="0" borderId="7" xfId="2" applyFont="1" applyBorder="1" applyAlignment="1">
      <alignment horizontal="center" vertical="center"/>
    </xf>
    <xf numFmtId="166" fontId="7" fillId="0" borderId="0" xfId="2" applyNumberFormat="1" applyFont="1" applyAlignment="1">
      <alignment horizontal="right" vertical="center" wrapText="1"/>
    </xf>
    <xf numFmtId="0" fontId="6" fillId="0" borderId="24" xfId="2" applyFont="1" applyBorder="1" applyAlignment="1">
      <alignment vertical="top" wrapText="1"/>
    </xf>
    <xf numFmtId="170" fontId="6" fillId="0" borderId="24" xfId="2" applyNumberFormat="1" applyFont="1" applyBorder="1" applyAlignment="1">
      <alignment horizontal="right" vertical="center" wrapText="1"/>
    </xf>
    <xf numFmtId="166" fontId="7" fillId="0" borderId="0" xfId="3" applyNumberFormat="1" applyFont="1" applyFill="1" applyBorder="1" applyAlignment="1">
      <alignment horizontal="right" vertical="center" wrapText="1"/>
    </xf>
    <xf numFmtId="166" fontId="7" fillId="0" borderId="6" xfId="8" applyNumberFormat="1" applyFont="1" applyBorder="1" applyAlignment="1">
      <alignment horizontal="right" vertical="top" wrapText="1"/>
    </xf>
    <xf numFmtId="0" fontId="7" fillId="0" borderId="5" xfId="2" applyFont="1" applyBorder="1" applyAlignment="1">
      <alignment horizontal="left" vertical="top"/>
    </xf>
    <xf numFmtId="166" fontId="7" fillId="0" borderId="5" xfId="8" applyNumberFormat="1" applyFont="1" applyBorder="1" applyAlignment="1">
      <alignment horizontal="right" vertical="center"/>
    </xf>
    <xf numFmtId="43" fontId="7" fillId="0" borderId="0" xfId="7" applyFont="1" applyAlignment="1">
      <alignment horizontal="right" vertical="top"/>
    </xf>
    <xf numFmtId="166" fontId="7" fillId="0" borderId="0" xfId="8" applyNumberFormat="1" applyFont="1" applyAlignment="1">
      <alignment horizontal="right" vertical="top"/>
    </xf>
    <xf numFmtId="166" fontId="7" fillId="0" borderId="0" xfId="2" applyNumberFormat="1" applyFont="1" applyAlignment="1">
      <alignment horizontal="right" vertical="top"/>
    </xf>
    <xf numFmtId="173" fontId="7" fillId="0" borderId="6" xfId="1" applyNumberFormat="1" applyFont="1" applyBorder="1" applyAlignment="1">
      <alignment horizontal="right" vertical="top" wrapText="1"/>
    </xf>
    <xf numFmtId="175" fontId="7" fillId="0" borderId="0" xfId="7" applyNumberFormat="1" applyFont="1" applyAlignment="1">
      <alignment horizontal="left" vertical="top"/>
    </xf>
    <xf numFmtId="165" fontId="3" fillId="6" borderId="6" xfId="2" applyNumberFormat="1" applyFill="1" applyBorder="1" applyAlignment="1">
      <alignment horizontal="left" vertical="top"/>
    </xf>
    <xf numFmtId="165" fontId="0" fillId="0" borderId="6" xfId="1" applyNumberFormat="1" applyFont="1" applyBorder="1" applyAlignment="1">
      <alignment horizontal="left" vertical="top"/>
    </xf>
    <xf numFmtId="173" fontId="3" fillId="0" borderId="0" xfId="1" applyNumberFormat="1" applyAlignment="1">
      <alignment horizontal="left" vertical="top"/>
    </xf>
    <xf numFmtId="175" fontId="5" fillId="0" borderId="7" xfId="7" applyNumberFormat="1" applyFont="1" applyBorder="1" applyAlignment="1">
      <alignment horizontal="center" vertical="top"/>
    </xf>
    <xf numFmtId="9" fontId="7" fillId="0" borderId="0" xfId="8" applyFont="1" applyAlignment="1">
      <alignment horizontal="left" vertical="top"/>
    </xf>
    <xf numFmtId="0" fontId="7" fillId="8" borderId="7" xfId="2" applyFont="1" applyFill="1" applyBorder="1" applyAlignment="1">
      <alignment vertical="top" wrapText="1"/>
    </xf>
    <xf numFmtId="170" fontId="6" fillId="8" borderId="7" xfId="2" applyNumberFormat="1" applyFont="1" applyFill="1" applyBorder="1" applyAlignment="1">
      <alignment horizontal="right" vertical="center" wrapText="1"/>
    </xf>
    <xf numFmtId="0" fontId="6" fillId="8" borderId="19" xfId="2" applyFont="1" applyFill="1" applyBorder="1" applyAlignment="1">
      <alignment horizontal="right" vertical="center" wrapText="1"/>
    </xf>
    <xf numFmtId="0" fontId="7" fillId="8" borderId="23" xfId="2" applyFont="1" applyFill="1" applyBorder="1" applyAlignment="1">
      <alignment horizontal="right" vertical="center" wrapText="1"/>
    </xf>
    <xf numFmtId="0" fontId="7" fillId="8" borderId="19" xfId="2" applyFont="1" applyFill="1" applyBorder="1" applyAlignment="1">
      <alignment horizontal="right" vertical="center" wrapText="1"/>
    </xf>
    <xf numFmtId="0" fontId="6" fillId="8" borderId="23" xfId="2" applyFont="1" applyFill="1" applyBorder="1" applyAlignment="1">
      <alignment horizontal="right" vertical="center" wrapText="1"/>
    </xf>
    <xf numFmtId="0" fontId="6" fillId="8" borderId="23" xfId="2" applyFont="1" applyFill="1" applyBorder="1" applyAlignment="1">
      <alignment horizontal="left" vertical="center" wrapText="1"/>
    </xf>
    <xf numFmtId="0" fontId="7" fillId="8" borderId="6" xfId="2" applyFont="1" applyFill="1" applyBorder="1" applyAlignment="1">
      <alignment horizontal="left" vertical="top"/>
    </xf>
    <xf numFmtId="0" fontId="14" fillId="8" borderId="6" xfId="2" applyFont="1" applyFill="1" applyBorder="1" applyAlignment="1">
      <alignment horizontal="left" vertical="top"/>
    </xf>
    <xf numFmtId="0" fontId="14" fillId="8" borderId="6" xfId="2" applyFont="1" applyFill="1" applyBorder="1" applyAlignment="1">
      <alignment horizontal="center" vertical="center"/>
    </xf>
    <xf numFmtId="10" fontId="5" fillId="0" borderId="18" xfId="3" applyNumberFormat="1" applyFont="1" applyBorder="1" applyAlignment="1">
      <alignment horizontal="right" vertical="center"/>
    </xf>
    <xf numFmtId="168" fontId="7" fillId="0" borderId="0" xfId="7" applyNumberFormat="1" applyFont="1" applyFill="1" applyBorder="1" applyAlignment="1">
      <alignment horizontal="right" vertical="center" wrapText="1"/>
    </xf>
    <xf numFmtId="44" fontId="7" fillId="0" borderId="0" xfId="1" applyFont="1" applyBorder="1" applyAlignment="1">
      <alignment horizontal="right" vertical="center" wrapText="1"/>
    </xf>
    <xf numFmtId="0" fontId="6" fillId="8" borderId="7" xfId="2" applyFont="1" applyFill="1" applyBorder="1" applyAlignment="1">
      <alignment horizontal="left" vertical="center" wrapText="1"/>
    </xf>
    <xf numFmtId="0" fontId="6" fillId="8" borderId="7" xfId="2" applyFont="1" applyFill="1" applyBorder="1" applyAlignment="1">
      <alignment horizontal="center" vertical="top" wrapText="1"/>
    </xf>
    <xf numFmtId="0" fontId="6" fillId="8" borderId="7" xfId="2" applyFont="1" applyFill="1" applyBorder="1" applyAlignment="1">
      <alignment horizontal="center" vertical="center" wrapText="1"/>
    </xf>
    <xf numFmtId="0" fontId="7" fillId="8" borderId="7" xfId="2" applyFont="1" applyFill="1" applyBorder="1" applyAlignment="1">
      <alignment horizontal="left" vertical="top"/>
    </xf>
    <xf numFmtId="170" fontId="7" fillId="0" borderId="0" xfId="2" applyNumberFormat="1" applyFont="1" applyAlignment="1">
      <alignment horizontal="left" vertical="top" wrapText="1"/>
    </xf>
    <xf numFmtId="173" fontId="7" fillId="0" borderId="6" xfId="1" applyNumberFormat="1" applyFont="1" applyBorder="1" applyAlignment="1">
      <alignment horizontal="right" vertical="center" wrapText="1"/>
    </xf>
    <xf numFmtId="168" fontId="7" fillId="0" borderId="6" xfId="7" applyNumberFormat="1" applyFont="1" applyFill="1" applyBorder="1" applyAlignment="1">
      <alignment horizontal="right" vertical="center" wrapText="1"/>
    </xf>
    <xf numFmtId="43" fontId="7" fillId="0" borderId="7" xfId="2" applyNumberFormat="1" applyFont="1" applyBorder="1" applyAlignment="1">
      <alignment horizontal="left" vertical="top" wrapText="1"/>
    </xf>
    <xf numFmtId="44" fontId="7" fillId="0" borderId="6" xfId="1" applyFont="1" applyBorder="1" applyAlignment="1">
      <alignment horizontal="right" vertical="center" wrapText="1"/>
    </xf>
    <xf numFmtId="0" fontId="6" fillId="8" borderId="7" xfId="2" applyFont="1" applyFill="1" applyBorder="1" applyAlignment="1">
      <alignment horizontal="left" vertical="top"/>
    </xf>
    <xf numFmtId="0" fontId="1" fillId="0" borderId="0" xfId="9"/>
    <xf numFmtId="0" fontId="1" fillId="0" borderId="28" xfId="9" applyBorder="1"/>
    <xf numFmtId="166" fontId="1" fillId="9" borderId="29" xfId="9" applyNumberFormat="1" applyFill="1" applyBorder="1"/>
    <xf numFmtId="166" fontId="1" fillId="0" borderId="0" xfId="9" applyNumberFormat="1"/>
    <xf numFmtId="166" fontId="1" fillId="0" borderId="29" xfId="9" applyNumberFormat="1" applyBorder="1"/>
    <xf numFmtId="166" fontId="1" fillId="0" borderId="10" xfId="9" applyNumberFormat="1" applyBorder="1"/>
    <xf numFmtId="166" fontId="0" fillId="0" borderId="29" xfId="10" applyNumberFormat="1" applyFont="1" applyBorder="1"/>
    <xf numFmtId="44" fontId="1" fillId="0" borderId="0" xfId="9" applyNumberFormat="1"/>
    <xf numFmtId="44" fontId="1" fillId="0" borderId="29" xfId="9" applyNumberFormat="1" applyBorder="1"/>
    <xf numFmtId="44" fontId="1" fillId="0" borderId="10" xfId="9" applyNumberFormat="1" applyBorder="1"/>
    <xf numFmtId="0" fontId="1" fillId="0" borderId="30" xfId="9" applyBorder="1"/>
    <xf numFmtId="44" fontId="1" fillId="0" borderId="31" xfId="9" applyNumberFormat="1" applyBorder="1" applyAlignment="1">
      <alignment horizontal="right" vertical="center"/>
    </xf>
    <xf numFmtId="44" fontId="0" fillId="0" borderId="6" xfId="11" applyFont="1" applyBorder="1"/>
    <xf numFmtId="0" fontId="1" fillId="0" borderId="31" xfId="9" applyBorder="1" applyAlignment="1">
      <alignment horizontal="right" vertical="center"/>
    </xf>
    <xf numFmtId="44" fontId="0" fillId="0" borderId="15" xfId="11" applyFont="1" applyBorder="1"/>
    <xf numFmtId="0" fontId="1" fillId="0" borderId="32" xfId="9" applyBorder="1"/>
    <xf numFmtId="166" fontId="0" fillId="0" borderId="33" xfId="10" applyNumberFormat="1" applyFont="1" applyBorder="1"/>
    <xf numFmtId="0" fontId="1" fillId="0" borderId="5" xfId="9" applyBorder="1" applyAlignment="1">
      <alignment horizontal="right" vertical="center"/>
    </xf>
    <xf numFmtId="0" fontId="1" fillId="0" borderId="34" xfId="9" applyBorder="1"/>
    <xf numFmtId="0" fontId="1" fillId="0" borderId="35" xfId="9" applyBorder="1"/>
    <xf numFmtId="166" fontId="0" fillId="0" borderId="36" xfId="10" applyNumberFormat="1" applyFont="1" applyBorder="1" applyAlignment="1">
      <alignment horizontal="right" vertical="center"/>
    </xf>
    <xf numFmtId="166" fontId="1" fillId="0" borderId="22" xfId="9" applyNumberFormat="1" applyBorder="1"/>
    <xf numFmtId="0" fontId="1" fillId="0" borderId="36" xfId="9" applyBorder="1" applyAlignment="1">
      <alignment horizontal="right" vertical="center"/>
    </xf>
    <xf numFmtId="166" fontId="1" fillId="0" borderId="37" xfId="9" applyNumberFormat="1" applyBorder="1"/>
    <xf numFmtId="0" fontId="1" fillId="0" borderId="38" xfId="9" applyBorder="1"/>
    <xf numFmtId="10" fontId="1" fillId="0" borderId="39" xfId="9" applyNumberFormat="1" applyBorder="1"/>
    <xf numFmtId="10" fontId="0" fillId="0" borderId="20" xfId="10" applyNumberFormat="1" applyFont="1" applyBorder="1"/>
    <xf numFmtId="166" fontId="0" fillId="0" borderId="21" xfId="10" applyNumberFormat="1" applyFont="1" applyBorder="1"/>
    <xf numFmtId="9" fontId="0" fillId="9" borderId="29" xfId="11" applyNumberFormat="1" applyFont="1" applyFill="1" applyBorder="1"/>
    <xf numFmtId="0" fontId="1" fillId="10" borderId="25" xfId="9" applyFill="1" applyBorder="1"/>
    <xf numFmtId="0" fontId="1" fillId="10" borderId="32" xfId="9" applyFill="1" applyBorder="1"/>
    <xf numFmtId="0" fontId="1" fillId="10" borderId="33" xfId="9" applyFill="1" applyBorder="1" applyAlignment="1">
      <alignment horizontal="center"/>
    </xf>
    <xf numFmtId="0" fontId="1" fillId="10" borderId="5" xfId="9" applyFill="1" applyBorder="1" applyAlignment="1">
      <alignment horizontal="center"/>
    </xf>
    <xf numFmtId="0" fontId="1" fillId="10" borderId="34" xfId="9" applyFill="1" applyBorder="1" applyAlignment="1">
      <alignment horizontal="center"/>
    </xf>
    <xf numFmtId="166" fontId="7" fillId="0" borderId="0" xfId="8" applyNumberFormat="1" applyFont="1" applyAlignment="1">
      <alignment horizontal="left" vertical="top"/>
    </xf>
    <xf numFmtId="9" fontId="5" fillId="0" borderId="0" xfId="3" applyFont="1" applyFill="1" applyAlignment="1">
      <alignment horizontal="right" vertical="center"/>
    </xf>
    <xf numFmtId="0" fontId="5" fillId="0" borderId="10" xfId="2" applyFont="1" applyBorder="1" applyAlignment="1">
      <alignment horizontal="right" vertical="center"/>
    </xf>
    <xf numFmtId="10" fontId="5" fillId="0" borderId="0" xfId="3" applyNumberFormat="1" applyFont="1" applyFill="1" applyAlignment="1">
      <alignment horizontal="right" vertical="center"/>
    </xf>
    <xf numFmtId="10" fontId="5" fillId="0" borderId="6" xfId="3" applyNumberFormat="1" applyFont="1" applyFill="1" applyBorder="1" applyAlignment="1">
      <alignment horizontal="right" vertical="center"/>
    </xf>
    <xf numFmtId="0" fontId="5" fillId="11" borderId="0" xfId="2" applyFont="1" applyFill="1" applyAlignment="1">
      <alignment horizontal="left" vertical="top"/>
    </xf>
    <xf numFmtId="166" fontId="7" fillId="0" borderId="0" xfId="2" applyNumberFormat="1" applyFont="1" applyAlignment="1">
      <alignment horizontal="right" vertical="center"/>
    </xf>
    <xf numFmtId="166" fontId="7" fillId="0" borderId="6" xfId="2" applyNumberFormat="1" applyFont="1" applyBorder="1" applyAlignment="1">
      <alignment horizontal="right" vertical="center"/>
    </xf>
    <xf numFmtId="43" fontId="7" fillId="0" borderId="0" xfId="2" applyNumberFormat="1" applyFont="1" applyAlignment="1">
      <alignment horizontal="left" vertical="top"/>
    </xf>
    <xf numFmtId="170" fontId="7" fillId="0" borderId="4" xfId="2" applyNumberFormat="1" applyFont="1" applyBorder="1" applyAlignment="1">
      <alignment horizontal="left" vertical="top" wrapText="1"/>
    </xf>
    <xf numFmtId="173" fontId="5" fillId="0" borderId="0" xfId="1" applyNumberFormat="1" applyFont="1" applyBorder="1" applyAlignment="1">
      <alignment horizontal="left" vertical="top"/>
    </xf>
    <xf numFmtId="173" fontId="5" fillId="0" borderId="6" xfId="1" applyNumberFormat="1" applyFont="1" applyBorder="1" applyAlignment="1">
      <alignment horizontal="left" vertical="top"/>
    </xf>
    <xf numFmtId="165" fontId="7" fillId="0" borderId="0" xfId="1" applyNumberFormat="1" applyFont="1" applyBorder="1" applyAlignment="1">
      <alignment horizontal="left" vertical="center" wrapText="1"/>
    </xf>
    <xf numFmtId="165" fontId="7" fillId="0" borderId="6" xfId="1" applyNumberFormat="1" applyFont="1" applyBorder="1" applyAlignment="1">
      <alignment horizontal="left" vertical="center" wrapText="1"/>
    </xf>
    <xf numFmtId="164" fontId="7" fillId="0" borderId="0" xfId="2" applyNumberFormat="1" applyFont="1" applyAlignment="1">
      <alignment horizontal="left" vertical="top" wrapText="1"/>
    </xf>
    <xf numFmtId="169" fontId="5" fillId="0" borderId="6" xfId="2" applyNumberFormat="1" applyFont="1" applyBorder="1" applyAlignment="1">
      <alignment horizontal="right" vertical="center"/>
    </xf>
    <xf numFmtId="165" fontId="5" fillId="0" borderId="0" xfId="2" applyNumberFormat="1" applyFont="1" applyAlignment="1">
      <alignment horizontal="left" vertical="top"/>
    </xf>
    <xf numFmtId="171" fontId="7" fillId="0" borderId="0" xfId="2" applyNumberFormat="1" applyFont="1" applyAlignment="1">
      <alignment horizontal="left" vertical="top" wrapText="1"/>
    </xf>
    <xf numFmtId="165" fontId="5" fillId="0" borderId="0" xfId="1" applyNumberFormat="1" applyFont="1" applyBorder="1" applyAlignment="1">
      <alignment horizontal="left" vertical="top"/>
    </xf>
    <xf numFmtId="165" fontId="5" fillId="0" borderId="7" xfId="2" applyNumberFormat="1" applyFont="1" applyBorder="1" applyAlignment="1">
      <alignment horizontal="left" vertical="top"/>
    </xf>
    <xf numFmtId="172" fontId="5" fillId="0" borderId="0" xfId="6" applyNumberFormat="1" applyFont="1" applyBorder="1" applyAlignment="1">
      <alignment horizontal="left" vertical="top"/>
    </xf>
    <xf numFmtId="0" fontId="7" fillId="0" borderId="7" xfId="2" applyFont="1" applyBorder="1" applyAlignment="1">
      <alignment horizontal="left" vertical="top"/>
    </xf>
    <xf numFmtId="165" fontId="5" fillId="2" borderId="7" xfId="2" applyNumberFormat="1" applyFont="1" applyFill="1" applyBorder="1" applyAlignment="1">
      <alignment horizontal="left" vertical="top"/>
    </xf>
    <xf numFmtId="166" fontId="7" fillId="0" borderId="0" xfId="8" applyNumberFormat="1" applyFont="1" applyAlignment="1">
      <alignment vertical="top"/>
    </xf>
    <xf numFmtId="0" fontId="13" fillId="0" borderId="7" xfId="2" applyFont="1" applyBorder="1" applyAlignment="1">
      <alignment horizontal="left" vertical="top"/>
    </xf>
    <xf numFmtId="0" fontId="6" fillId="0" borderId="7" xfId="2" applyFont="1" applyBorder="1" applyAlignment="1">
      <alignment horizontal="left" vertical="top"/>
    </xf>
    <xf numFmtId="165" fontId="13" fillId="2" borderId="7" xfId="2" applyNumberFormat="1" applyFont="1" applyFill="1" applyBorder="1" applyAlignment="1">
      <alignment horizontal="left" vertical="top"/>
    </xf>
    <xf numFmtId="0" fontId="5" fillId="0" borderId="0" xfId="0" applyFont="1" applyAlignment="1">
      <alignment horizontal="left" vertical="top"/>
    </xf>
    <xf numFmtId="0" fontId="18" fillId="0" borderId="0" xfId="0" applyFont="1" applyAlignment="1">
      <alignment horizontal="left" vertical="top" wrapText="1"/>
    </xf>
    <xf numFmtId="0" fontId="16" fillId="0" borderId="0" xfId="0" applyFont="1" applyAlignment="1">
      <alignment horizontal="left" vertical="top" wrapText="1"/>
    </xf>
    <xf numFmtId="0" fontId="16" fillId="0" borderId="6" xfId="0" applyFont="1" applyBorder="1" applyAlignment="1">
      <alignment horizontal="left" vertical="top" wrapText="1"/>
    </xf>
    <xf numFmtId="0" fontId="18" fillId="0" borderId="7" xfId="0" applyFont="1" applyBorder="1" applyAlignment="1">
      <alignment horizontal="left" vertical="top" wrapText="1"/>
    </xf>
    <xf numFmtId="175" fontId="7" fillId="0" borderId="0" xfId="6" applyNumberFormat="1" applyFont="1" applyFill="1" applyBorder="1" applyAlignment="1">
      <alignment horizontal="left" vertical="center" wrapText="1"/>
    </xf>
    <xf numFmtId="175" fontId="7" fillId="0" borderId="6" xfId="6" applyNumberFormat="1" applyFont="1" applyFill="1" applyBorder="1" applyAlignment="1">
      <alignment horizontal="left" vertical="center" wrapText="1"/>
    </xf>
    <xf numFmtId="175" fontId="6" fillId="0" borderId="6" xfId="6" applyNumberFormat="1" applyFont="1" applyFill="1" applyBorder="1" applyAlignment="1">
      <alignment horizontal="left" vertical="center" wrapText="1"/>
    </xf>
    <xf numFmtId="175" fontId="6" fillId="0" borderId="7" xfId="6" applyNumberFormat="1" applyFont="1" applyFill="1" applyBorder="1" applyAlignment="1">
      <alignment horizontal="left" vertical="center" wrapText="1"/>
    </xf>
    <xf numFmtId="0" fontId="6" fillId="0" borderId="22" xfId="2" applyFont="1" applyBorder="1" applyAlignment="1">
      <alignment horizontal="left" vertical="top" wrapText="1"/>
    </xf>
    <xf numFmtId="0" fontId="6" fillId="0" borderId="0" xfId="2" applyFont="1" applyAlignment="1">
      <alignment horizontal="left" vertical="center"/>
    </xf>
    <xf numFmtId="0" fontId="5" fillId="0" borderId="0" xfId="2" applyFont="1" applyAlignment="1">
      <alignment horizontal="left" vertical="center"/>
    </xf>
    <xf numFmtId="165" fontId="5" fillId="0" borderId="0" xfId="1" applyNumberFormat="1" applyFont="1" applyFill="1" applyBorder="1" applyAlignment="1">
      <alignment horizontal="left" vertical="center"/>
    </xf>
    <xf numFmtId="165" fontId="7" fillId="0" borderId="0" xfId="1" applyNumberFormat="1" applyFont="1" applyFill="1" applyBorder="1" applyAlignment="1">
      <alignment horizontal="left" vertical="center"/>
    </xf>
    <xf numFmtId="165" fontId="5" fillId="0" borderId="0" xfId="1" applyNumberFormat="1" applyFont="1" applyBorder="1" applyAlignment="1">
      <alignment horizontal="left" vertical="center"/>
    </xf>
    <xf numFmtId="0" fontId="7" fillId="0" borderId="6" xfId="0" applyFont="1" applyBorder="1" applyAlignment="1">
      <alignment horizontal="left" vertical="top"/>
    </xf>
    <xf numFmtId="0" fontId="7" fillId="0" borderId="0" xfId="0" applyFont="1" applyAlignment="1">
      <alignment vertical="top" wrapText="1"/>
    </xf>
    <xf numFmtId="0" fontId="7" fillId="0" borderId="22" xfId="0" applyFont="1" applyBorder="1" applyAlignment="1">
      <alignment vertical="top" wrapText="1"/>
    </xf>
    <xf numFmtId="9" fontId="7" fillId="0" borderId="0" xfId="3" applyFont="1" applyBorder="1" applyAlignment="1">
      <alignment horizontal="right" vertical="center" wrapText="1"/>
    </xf>
    <xf numFmtId="0" fontId="7" fillId="0" borderId="6" xfId="0" applyFont="1" applyBorder="1" applyAlignment="1">
      <alignment vertical="top" wrapText="1"/>
    </xf>
    <xf numFmtId="0" fontId="6" fillId="0" borderId="7" xfId="0" applyFont="1" applyBorder="1" applyAlignment="1">
      <alignment vertical="top" wrapText="1"/>
    </xf>
    <xf numFmtId="166" fontId="7" fillId="0" borderId="0" xfId="3" applyNumberFormat="1" applyFont="1" applyBorder="1" applyAlignment="1">
      <alignment horizontal="right" vertical="center"/>
    </xf>
    <xf numFmtId="166" fontId="6" fillId="0" borderId="7" xfId="3" applyNumberFormat="1" applyFont="1" applyBorder="1" applyAlignment="1">
      <alignment horizontal="right" vertical="center" wrapText="1"/>
    </xf>
    <xf numFmtId="0" fontId="22" fillId="0" borderId="0" xfId="2" applyFont="1" applyAlignment="1">
      <alignment horizontal="left" vertical="center"/>
    </xf>
    <xf numFmtId="0" fontId="25" fillId="0" borderId="0" xfId="2" applyFont="1" applyAlignment="1">
      <alignment horizontal="left" vertical="center"/>
    </xf>
    <xf numFmtId="0" fontId="3" fillId="0" borderId="0" xfId="0" applyFont="1" applyAlignment="1">
      <alignment horizontal="left" vertical="top"/>
    </xf>
    <xf numFmtId="166" fontId="5" fillId="0" borderId="0" xfId="8" applyNumberFormat="1" applyFont="1" applyAlignment="1">
      <alignment horizontal="center" vertical="center"/>
    </xf>
    <xf numFmtId="9" fontId="5" fillId="0" borderId="0" xfId="8" applyFont="1" applyAlignment="1">
      <alignment horizontal="center" vertical="top"/>
    </xf>
    <xf numFmtId="0" fontId="5" fillId="6" borderId="7" xfId="0" applyFont="1" applyFill="1" applyBorder="1" applyAlignment="1">
      <alignment horizontal="left" vertical="top"/>
    </xf>
    <xf numFmtId="0" fontId="15" fillId="6" borderId="7" xfId="0" applyFont="1" applyFill="1" applyBorder="1" applyAlignment="1">
      <alignment horizontal="right" vertical="center"/>
    </xf>
    <xf numFmtId="0" fontId="5" fillId="6" borderId="7" xfId="0" applyFont="1" applyFill="1" applyBorder="1" applyAlignment="1">
      <alignment horizontal="right" vertical="center"/>
    </xf>
    <xf numFmtId="175" fontId="7" fillId="6" borderId="7" xfId="6" applyNumberFormat="1" applyFont="1" applyFill="1" applyBorder="1" applyAlignment="1">
      <alignment horizontal="left" vertical="center" wrapText="1"/>
    </xf>
    <xf numFmtId="0" fontId="13" fillId="0" borderId="7" xfId="2" applyFont="1" applyBorder="1" applyAlignment="1">
      <alignment horizontal="left" vertical="center"/>
    </xf>
    <xf numFmtId="10" fontId="5" fillId="0" borderId="0" xfId="3" applyNumberFormat="1" applyFont="1" applyFill="1" applyAlignment="1">
      <alignment horizontal="left" vertical="center"/>
    </xf>
    <xf numFmtId="0" fontId="5" fillId="0" borderId="0" xfId="0" applyFont="1" applyAlignment="1">
      <alignment horizontal="left" vertical="center"/>
    </xf>
    <xf numFmtId="165" fontId="5" fillId="0" borderId="0" xfId="1" applyNumberFormat="1" applyFont="1" applyFill="1" applyAlignment="1">
      <alignment horizontal="left" vertical="center"/>
    </xf>
    <xf numFmtId="0" fontId="7" fillId="0" borderId="0" xfId="2" applyFont="1" applyAlignment="1">
      <alignment horizontal="left" vertical="center"/>
    </xf>
    <xf numFmtId="165" fontId="7" fillId="0" borderId="0" xfId="1" applyNumberFormat="1" applyFont="1" applyFill="1" applyBorder="1" applyAlignment="1">
      <alignment horizontal="left" vertical="center" wrapText="1"/>
    </xf>
    <xf numFmtId="165" fontId="6" fillId="0" borderId="22" xfId="1" applyNumberFormat="1" applyFont="1" applyFill="1" applyBorder="1" applyAlignment="1">
      <alignment horizontal="left" vertical="center" wrapText="1"/>
    </xf>
    <xf numFmtId="165" fontId="5" fillId="0" borderId="0" xfId="0" applyNumberFormat="1" applyFont="1" applyAlignment="1">
      <alignment horizontal="left" vertical="center"/>
    </xf>
    <xf numFmtId="165" fontId="5" fillId="0" borderId="0" xfId="2" applyNumberFormat="1" applyFont="1" applyAlignment="1">
      <alignment horizontal="left" vertical="center"/>
    </xf>
    <xf numFmtId="175" fontId="7" fillId="0" borderId="0" xfId="6" applyNumberFormat="1" applyFont="1" applyAlignment="1">
      <alignment horizontal="left" vertical="center"/>
    </xf>
    <xf numFmtId="175" fontId="7" fillId="0" borderId="6" xfId="0" applyNumberFormat="1" applyFont="1" applyBorder="1" applyAlignment="1">
      <alignment horizontal="left" vertical="center"/>
    </xf>
    <xf numFmtId="0" fontId="7" fillId="0" borderId="0" xfId="0" applyFont="1" applyAlignment="1">
      <alignment horizontal="left" vertical="center"/>
    </xf>
    <xf numFmtId="165" fontId="16" fillId="0" borderId="0" xfId="1" applyNumberFormat="1" applyFont="1" applyFill="1" applyBorder="1" applyAlignment="1">
      <alignment horizontal="left" vertical="center" wrapText="1"/>
    </xf>
    <xf numFmtId="165" fontId="17" fillId="0" borderId="0" xfId="1" applyNumberFormat="1" applyFont="1" applyFill="1" applyBorder="1" applyAlignment="1">
      <alignment horizontal="left" vertical="center" wrapText="1"/>
    </xf>
    <xf numFmtId="165" fontId="16" fillId="0" borderId="6" xfId="1" applyNumberFormat="1" applyFont="1" applyFill="1" applyBorder="1" applyAlignment="1">
      <alignment horizontal="left" vertical="center" wrapText="1"/>
    </xf>
    <xf numFmtId="165" fontId="18" fillId="0" borderId="0" xfId="1" applyNumberFormat="1" applyFont="1" applyFill="1" applyBorder="1" applyAlignment="1">
      <alignment horizontal="left" vertical="center" wrapText="1"/>
    </xf>
    <xf numFmtId="165" fontId="20" fillId="0" borderId="0" xfId="1" applyNumberFormat="1" applyFont="1" applyFill="1" applyBorder="1" applyAlignment="1">
      <alignment horizontal="left" vertical="center" wrapText="1"/>
    </xf>
    <xf numFmtId="165" fontId="17" fillId="0" borderId="6" xfId="1" applyNumberFormat="1" applyFont="1" applyFill="1" applyBorder="1" applyAlignment="1">
      <alignment horizontal="left" vertical="center" wrapText="1"/>
    </xf>
    <xf numFmtId="165" fontId="18" fillId="0" borderId="7" xfId="1" applyNumberFormat="1" applyFont="1" applyFill="1" applyBorder="1" applyAlignment="1">
      <alignment horizontal="left" vertical="center" wrapText="1"/>
    </xf>
    <xf numFmtId="175" fontId="21" fillId="0" borderId="6" xfId="6" applyNumberFormat="1" applyFont="1" applyFill="1" applyBorder="1" applyAlignment="1">
      <alignment horizontal="left" vertical="center" wrapText="1"/>
    </xf>
    <xf numFmtId="175" fontId="7" fillId="0" borderId="0" xfId="6" applyNumberFormat="1" applyFont="1" applyBorder="1" applyAlignment="1">
      <alignment horizontal="left" vertical="center"/>
    </xf>
    <xf numFmtId="172" fontId="7" fillId="0" borderId="0" xfId="6" applyNumberFormat="1" applyFont="1" applyBorder="1" applyAlignment="1">
      <alignment horizontal="left" vertical="center" wrapText="1"/>
    </xf>
    <xf numFmtId="175" fontId="7" fillId="0" borderId="0" xfId="6" applyNumberFormat="1" applyFont="1" applyBorder="1" applyAlignment="1">
      <alignment horizontal="left" vertical="center" wrapText="1"/>
    </xf>
    <xf numFmtId="175" fontId="7" fillId="0" borderId="22" xfId="6" applyNumberFormat="1" applyFont="1" applyBorder="1" applyAlignment="1">
      <alignment horizontal="left" vertical="center" wrapText="1"/>
    </xf>
    <xf numFmtId="172" fontId="7" fillId="0" borderId="6" xfId="6" applyNumberFormat="1" applyFont="1" applyBorder="1" applyAlignment="1">
      <alignment horizontal="left" vertical="center" wrapText="1"/>
    </xf>
    <xf numFmtId="175" fontId="7" fillId="0" borderId="6" xfId="6" applyNumberFormat="1" applyFont="1" applyBorder="1" applyAlignment="1">
      <alignment horizontal="left" vertical="center" wrapText="1"/>
    </xf>
    <xf numFmtId="172" fontId="6" fillId="0" borderId="7" xfId="6" applyNumberFormat="1" applyFont="1" applyBorder="1" applyAlignment="1">
      <alignment horizontal="left" vertical="center" wrapText="1"/>
    </xf>
    <xf numFmtId="175" fontId="6" fillId="0" borderId="7" xfId="6" applyNumberFormat="1" applyFont="1" applyBorder="1" applyAlignment="1">
      <alignment horizontal="left" vertical="center" wrapText="1"/>
    </xf>
    <xf numFmtId="43" fontId="7" fillId="0" borderId="0" xfId="6" applyFont="1" applyBorder="1" applyAlignment="1">
      <alignment horizontal="left" vertical="center"/>
    </xf>
    <xf numFmtId="10" fontId="7" fillId="0" borderId="0" xfId="3" applyNumberFormat="1" applyFont="1" applyFill="1" applyBorder="1" applyAlignment="1">
      <alignment horizontal="right" vertical="center" wrapText="1"/>
    </xf>
    <xf numFmtId="10" fontId="29" fillId="12" borderId="0" xfId="3" applyNumberFormat="1" applyFont="1" applyFill="1" applyBorder="1" applyAlignment="1">
      <alignment horizontal="right" vertical="center" wrapText="1"/>
    </xf>
    <xf numFmtId="0" fontId="5" fillId="0" borderId="0" xfId="0" applyFont="1" applyAlignment="1">
      <alignment horizontal="center" vertical="top"/>
    </xf>
    <xf numFmtId="165" fontId="7" fillId="0" borderId="0" xfId="1" applyNumberFormat="1" applyFont="1" applyBorder="1" applyAlignment="1">
      <alignment horizontal="left" vertical="top" wrapText="1"/>
    </xf>
    <xf numFmtId="165" fontId="7" fillId="0" borderId="0" xfId="1" applyNumberFormat="1" applyFont="1" applyAlignment="1">
      <alignment horizontal="left" vertical="top" wrapText="1"/>
    </xf>
    <xf numFmtId="165" fontId="7" fillId="0" borderId="0" xfId="1" applyNumberFormat="1" applyFont="1" applyAlignment="1">
      <alignment horizontal="left" vertical="center" wrapText="1"/>
    </xf>
    <xf numFmtId="43" fontId="7" fillId="0" borderId="0" xfId="0" applyNumberFormat="1" applyFont="1" applyAlignment="1">
      <alignment vertical="top"/>
    </xf>
    <xf numFmtId="165" fontId="7" fillId="0" borderId="6" xfId="1" applyNumberFormat="1" applyFont="1" applyBorder="1" applyAlignment="1">
      <alignment horizontal="left" vertical="top" wrapText="1"/>
    </xf>
    <xf numFmtId="9" fontId="5" fillId="0" borderId="0" xfId="8" applyFont="1" applyAlignment="1">
      <alignment horizontal="right" vertical="top"/>
    </xf>
    <xf numFmtId="166" fontId="5" fillId="0" borderId="0" xfId="8" applyNumberFormat="1" applyFont="1" applyAlignment="1">
      <alignment horizontal="right" vertical="top"/>
    </xf>
    <xf numFmtId="173" fontId="7" fillId="0" borderId="6" xfId="2" applyNumberFormat="1" applyFont="1" applyBorder="1" applyAlignment="1">
      <alignment horizontal="left" vertical="top"/>
    </xf>
    <xf numFmtId="165" fontId="7" fillId="0" borderId="2" xfId="1" applyNumberFormat="1" applyFont="1" applyBorder="1" applyAlignment="1">
      <alignment horizontal="left" vertical="center" wrapText="1"/>
    </xf>
    <xf numFmtId="165" fontId="7" fillId="0" borderId="3" xfId="1" applyNumberFormat="1" applyFont="1" applyBorder="1" applyAlignment="1">
      <alignment horizontal="left" vertical="center" wrapText="1"/>
    </xf>
    <xf numFmtId="165" fontId="7" fillId="0" borderId="4" xfId="1" applyNumberFormat="1" applyFont="1" applyBorder="1" applyAlignment="1">
      <alignment horizontal="left" vertical="center" wrapText="1"/>
    </xf>
    <xf numFmtId="165" fontId="6" fillId="0" borderId="7" xfId="1" applyNumberFormat="1" applyFont="1" applyBorder="1" applyAlignment="1">
      <alignment horizontal="left" vertical="center" wrapText="1"/>
    </xf>
    <xf numFmtId="165" fontId="7" fillId="0" borderId="6" xfId="2" applyNumberFormat="1" applyFont="1" applyBorder="1" applyAlignment="1">
      <alignment horizontal="left" vertical="top"/>
    </xf>
    <xf numFmtId="165" fontId="7" fillId="0" borderId="3" xfId="1" applyNumberFormat="1" applyFont="1" applyFill="1" applyBorder="1" applyAlignment="1">
      <alignment horizontal="left" vertical="center" wrapText="1"/>
    </xf>
    <xf numFmtId="165" fontId="7" fillId="0" borderId="4" xfId="1" applyNumberFormat="1" applyFont="1" applyBorder="1" applyAlignment="1">
      <alignment vertical="center" wrapText="1"/>
    </xf>
    <xf numFmtId="165" fontId="7" fillId="0" borderId="0" xfId="1" applyNumberFormat="1" applyFont="1" applyAlignment="1">
      <alignment vertical="center" wrapText="1"/>
    </xf>
    <xf numFmtId="165" fontId="7" fillId="0" borderId="1" xfId="1" applyNumberFormat="1" applyFont="1" applyBorder="1" applyAlignment="1">
      <alignment vertical="center" wrapText="1"/>
    </xf>
    <xf numFmtId="165" fontId="7" fillId="0" borderId="2" xfId="1" applyNumberFormat="1" applyFont="1" applyBorder="1" applyAlignment="1">
      <alignment vertical="center" wrapText="1"/>
    </xf>
    <xf numFmtId="165" fontId="7" fillId="0" borderId="0" xfId="1" applyNumberFormat="1" applyFont="1" applyBorder="1" applyAlignment="1">
      <alignment vertical="center" wrapText="1"/>
    </xf>
    <xf numFmtId="165" fontId="6" fillId="0" borderId="7" xfId="1" applyNumberFormat="1" applyFont="1" applyBorder="1" applyAlignment="1">
      <alignment vertical="center" wrapText="1"/>
    </xf>
    <xf numFmtId="165" fontId="7" fillId="0" borderId="6" xfId="1" applyNumberFormat="1" applyFont="1" applyBorder="1" applyAlignment="1">
      <alignment vertical="center" wrapText="1"/>
    </xf>
    <xf numFmtId="165" fontId="7" fillId="0" borderId="0" xfId="8" applyNumberFormat="1" applyFont="1" applyAlignment="1">
      <alignment horizontal="left" vertical="top"/>
    </xf>
    <xf numFmtId="165" fontId="5" fillId="0" borderId="29" xfId="1" applyNumberFormat="1" applyFont="1" applyBorder="1" applyAlignment="1">
      <alignment horizontal="left" vertical="top"/>
    </xf>
    <xf numFmtId="165" fontId="5" fillId="0" borderId="0" xfId="0" applyNumberFormat="1" applyFont="1" applyAlignment="1">
      <alignment horizontal="right" vertical="top"/>
    </xf>
    <xf numFmtId="166" fontId="5" fillId="0" borderId="0" xfId="3" applyNumberFormat="1" applyFont="1" applyBorder="1" applyAlignment="1">
      <alignment horizontal="right" vertical="top"/>
    </xf>
    <xf numFmtId="166" fontId="5" fillId="0" borderId="0" xfId="3" applyNumberFormat="1" applyFont="1" applyBorder="1" applyAlignment="1">
      <alignment horizontal="right" vertical="center"/>
    </xf>
    <xf numFmtId="0" fontId="7" fillId="8" borderId="6" xfId="2" applyFont="1" applyFill="1" applyBorder="1" applyAlignment="1">
      <alignment horizontal="center" vertical="center"/>
    </xf>
    <xf numFmtId="165" fontId="5" fillId="0" borderId="0" xfId="2" applyNumberFormat="1" applyFont="1" applyAlignment="1">
      <alignment horizontal="right" vertical="center"/>
    </xf>
    <xf numFmtId="0" fontId="3" fillId="0" borderId="29" xfId="2" applyBorder="1" applyAlignment="1">
      <alignment horizontal="left" vertical="top"/>
    </xf>
    <xf numFmtId="173" fontId="12" fillId="0" borderId="7" xfId="1" applyNumberFormat="1" applyFont="1" applyFill="1" applyBorder="1" applyAlignment="1">
      <alignment horizontal="center" vertical="center"/>
    </xf>
    <xf numFmtId="9" fontId="7" fillId="0" borderId="6" xfId="8" applyFont="1" applyBorder="1" applyAlignment="1">
      <alignment horizontal="left" vertical="top"/>
    </xf>
    <xf numFmtId="165" fontId="7" fillId="0" borderId="7" xfId="1" applyNumberFormat="1" applyFont="1" applyBorder="1" applyAlignment="1">
      <alignment horizontal="right" vertical="center" wrapText="1"/>
    </xf>
    <xf numFmtId="165" fontId="7" fillId="0" borderId="0" xfId="1" applyNumberFormat="1" applyFont="1" applyAlignment="1">
      <alignment horizontal="right" vertical="center"/>
    </xf>
    <xf numFmtId="165" fontId="7" fillId="0" borderId="22" xfId="1" applyNumberFormat="1" applyFont="1" applyBorder="1" applyAlignment="1">
      <alignment horizontal="right" vertical="center" wrapText="1"/>
    </xf>
    <xf numFmtId="166" fontId="7" fillId="0" borderId="0" xfId="8" applyNumberFormat="1" applyFont="1" applyBorder="1" applyAlignment="1">
      <alignment horizontal="right" vertical="center" wrapText="1"/>
    </xf>
    <xf numFmtId="166" fontId="7" fillId="0" borderId="6" xfId="8" applyNumberFormat="1" applyFont="1" applyBorder="1" applyAlignment="1">
      <alignment horizontal="right" vertical="center" wrapText="1"/>
    </xf>
    <xf numFmtId="0" fontId="30" fillId="0" borderId="0" xfId="0" applyFont="1" applyAlignment="1">
      <alignment horizontal="left" vertical="top"/>
    </xf>
    <xf numFmtId="0" fontId="5" fillId="0" borderId="7" xfId="0" applyFont="1" applyBorder="1" applyAlignment="1">
      <alignment horizontal="right" vertical="center"/>
    </xf>
    <xf numFmtId="165" fontId="5" fillId="0" borderId="0" xfId="0" applyNumberFormat="1" applyFont="1" applyAlignment="1">
      <alignment horizontal="left" vertical="top"/>
    </xf>
    <xf numFmtId="43" fontId="5" fillId="0" borderId="7" xfId="7" applyFont="1" applyBorder="1" applyAlignment="1">
      <alignment horizontal="center" vertical="center"/>
    </xf>
    <xf numFmtId="10" fontId="5" fillId="0" borderId="0" xfId="8" applyNumberFormat="1" applyFont="1" applyAlignment="1">
      <alignment horizontal="center" vertical="center"/>
    </xf>
    <xf numFmtId="0" fontId="7" fillId="6" borderId="0" xfId="2" applyFont="1" applyFill="1" applyAlignment="1">
      <alignment horizontal="left" vertical="top" wrapText="1"/>
    </xf>
    <xf numFmtId="0" fontId="7" fillId="6" borderId="0" xfId="2" applyFont="1" applyFill="1" applyAlignment="1">
      <alignment horizontal="left" vertical="top"/>
    </xf>
    <xf numFmtId="0" fontId="5" fillId="0" borderId="6" xfId="0" applyFont="1" applyBorder="1" applyAlignment="1">
      <alignment horizontal="left" vertical="top"/>
    </xf>
    <xf numFmtId="0" fontId="7" fillId="0" borderId="0" xfId="2" applyFont="1" applyAlignment="1">
      <alignment horizontal="right" vertical="top"/>
    </xf>
    <xf numFmtId="173" fontId="7" fillId="0" borderId="0" xfId="1" applyNumberFormat="1" applyFont="1" applyFill="1" applyBorder="1" applyAlignment="1">
      <alignment horizontal="left" vertical="center" wrapText="1"/>
    </xf>
    <xf numFmtId="173" fontId="6" fillId="0" borderId="22" xfId="1" applyNumberFormat="1" applyFont="1" applyFill="1" applyBorder="1" applyAlignment="1">
      <alignment horizontal="left" vertical="center" wrapText="1"/>
    </xf>
    <xf numFmtId="176" fontId="7" fillId="0" borderId="0" xfId="1" applyNumberFormat="1" applyFont="1" applyBorder="1" applyAlignment="1">
      <alignment horizontal="left" vertical="center" wrapText="1"/>
    </xf>
    <xf numFmtId="44" fontId="5" fillId="0" borderId="0" xfId="0" applyNumberFormat="1" applyFont="1" applyAlignment="1">
      <alignment horizontal="left" vertical="center"/>
    </xf>
    <xf numFmtId="165" fontId="5" fillId="0" borderId="7" xfId="7" applyNumberFormat="1" applyFont="1" applyBorder="1" applyAlignment="1">
      <alignment horizontal="center" vertical="top"/>
    </xf>
    <xf numFmtId="9" fontId="6" fillId="3" borderId="5" xfId="8" applyFont="1" applyFill="1" applyBorder="1" applyAlignment="1">
      <alignment horizontal="center" vertical="center" wrapText="1"/>
    </xf>
    <xf numFmtId="9" fontId="7" fillId="0" borderId="0" xfId="8" applyFont="1" applyAlignment="1">
      <alignment horizontal="right" vertical="top"/>
    </xf>
    <xf numFmtId="165" fontId="7" fillId="0" borderId="5" xfId="1" applyNumberFormat="1" applyFont="1" applyBorder="1" applyAlignment="1">
      <alignment horizontal="left" vertical="center" wrapText="1"/>
    </xf>
    <xf numFmtId="165" fontId="7" fillId="0" borderId="1" xfId="1" applyNumberFormat="1" applyFont="1" applyBorder="1" applyAlignment="1">
      <alignment horizontal="left" vertical="center" wrapText="1"/>
    </xf>
    <xf numFmtId="10" fontId="7" fillId="0" borderId="0" xfId="2" applyNumberFormat="1" applyFont="1" applyAlignment="1">
      <alignment horizontal="left" vertical="top"/>
    </xf>
    <xf numFmtId="10" fontId="7" fillId="0" borderId="6" xfId="2" applyNumberFormat="1" applyFont="1" applyBorder="1" applyAlignment="1">
      <alignment horizontal="right" vertical="center"/>
    </xf>
    <xf numFmtId="165" fontId="7" fillId="0" borderId="0" xfId="1" applyNumberFormat="1" applyFont="1" applyBorder="1" applyAlignment="1">
      <alignment vertical="top" wrapText="1"/>
    </xf>
    <xf numFmtId="165" fontId="7" fillId="0" borderId="6" xfId="1" applyNumberFormat="1" applyFont="1" applyBorder="1" applyAlignment="1">
      <alignment vertical="top" wrapText="1"/>
    </xf>
    <xf numFmtId="165" fontId="7" fillId="0" borderId="0" xfId="7" applyNumberFormat="1" applyFont="1" applyAlignment="1">
      <alignment horizontal="right" vertical="top"/>
    </xf>
    <xf numFmtId="0" fontId="31" fillId="7" borderId="6" xfId="2" applyFont="1" applyFill="1" applyBorder="1" applyAlignment="1">
      <alignment horizontal="right" vertical="center" wrapText="1"/>
    </xf>
    <xf numFmtId="166" fontId="5" fillId="0" borderId="0" xfId="3" applyNumberFormat="1" applyFont="1" applyFill="1" applyAlignment="1">
      <alignment horizontal="right" vertical="center"/>
    </xf>
    <xf numFmtId="0" fontId="7" fillId="8" borderId="7" xfId="2" applyFont="1" applyFill="1" applyBorder="1" applyAlignment="1">
      <alignment horizontal="center" vertical="center"/>
    </xf>
    <xf numFmtId="0" fontId="4" fillId="7" borderId="6" xfId="5" applyFont="1" applyFill="1" applyBorder="1" applyAlignment="1">
      <alignment horizontal="left"/>
    </xf>
    <xf numFmtId="0" fontId="7" fillId="8" borderId="6" xfId="2" applyFont="1" applyFill="1" applyBorder="1" applyAlignment="1">
      <alignment horizontal="center" vertical="center"/>
    </xf>
    <xf numFmtId="0" fontId="7" fillId="8" borderId="31" xfId="2" applyFont="1" applyFill="1" applyBorder="1" applyAlignment="1">
      <alignment horizontal="center" vertical="center"/>
    </xf>
    <xf numFmtId="0" fontId="1" fillId="10" borderId="26" xfId="9" applyFill="1" applyBorder="1" applyAlignment="1">
      <alignment horizontal="center"/>
    </xf>
    <xf numFmtId="0" fontId="1" fillId="10" borderId="19" xfId="9" applyFill="1" applyBorder="1" applyAlignment="1">
      <alignment horizontal="center"/>
    </xf>
    <xf numFmtId="0" fontId="1" fillId="10" borderId="27" xfId="9" applyFill="1" applyBorder="1" applyAlignment="1">
      <alignment horizontal="center"/>
    </xf>
    <xf numFmtId="44" fontId="5" fillId="0" borderId="0" xfId="2" applyNumberFormat="1" applyFont="1" applyAlignment="1">
      <alignment horizontal="left" vertical="top"/>
    </xf>
    <xf numFmtId="9" fontId="5" fillId="0" borderId="0" xfId="8" applyFont="1" applyAlignment="1">
      <alignment horizontal="left" vertical="top"/>
    </xf>
    <xf numFmtId="165" fontId="5" fillId="0" borderId="7" xfId="1" applyNumberFormat="1" applyFont="1" applyBorder="1" applyAlignment="1">
      <alignment horizontal="center" vertical="top"/>
    </xf>
    <xf numFmtId="10" fontId="7" fillId="0" borderId="0" xfId="8" applyNumberFormat="1" applyFont="1" applyAlignment="1">
      <alignment horizontal="right" vertical="center"/>
    </xf>
    <xf numFmtId="9" fontId="5" fillId="0" borderId="0" xfId="8" applyFont="1" applyAlignment="1">
      <alignment horizontal="center" vertical="center"/>
    </xf>
  </cellXfs>
  <cellStyles count="12">
    <cellStyle name="Comma" xfId="7" builtinId="3"/>
    <cellStyle name="Comma 2" xfId="6" xr:uid="{B0ADBB1C-F5EC-4B09-A54A-C848D0CFC3B1}"/>
    <cellStyle name="Currency" xfId="1" builtinId="4"/>
    <cellStyle name="Currency 2" xfId="11" xr:uid="{6EE420F9-888B-497C-B0B8-8271DDEE12E4}"/>
    <cellStyle name="Hyperlink" xfId="4" builtinId="8"/>
    <cellStyle name="Normal" xfId="0" builtinId="0"/>
    <cellStyle name="Normal 2" xfId="2" xr:uid="{150C01FB-864D-4DB2-B30F-BEA467D991D1}"/>
    <cellStyle name="Normal 3" xfId="5" xr:uid="{C1943D67-AB4A-423B-875D-3242AE8A0A3F}"/>
    <cellStyle name="Normal 4" xfId="9" xr:uid="{9DC95727-AA0B-4B5F-8ED4-743ACAF308A4}"/>
    <cellStyle name="Percent" xfId="8" builtinId="5"/>
    <cellStyle name="Percent 2" xfId="3" xr:uid="{5F5FAEF4-8651-41A1-8AF9-B5803166BAAF}"/>
    <cellStyle name="Percent 3" xfId="10" xr:uid="{0B4A84E1-C83D-44A9-B2E8-A6F9C40BB487}"/>
  </cellStyles>
  <dxfs count="37">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79998168889431442"/>
        </patternFill>
      </fill>
    </dxf>
    <dxf>
      <fill>
        <patternFill>
          <bgColor theme="6" tint="0.79998168889431442"/>
        </patternFill>
      </fill>
    </dxf>
    <dxf>
      <fill>
        <patternFill>
          <bgColor theme="7" tint="0.79998168889431442"/>
        </patternFill>
      </fill>
    </dxf>
    <dxf>
      <fill>
        <patternFill>
          <bgColor theme="8"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FFCC"/>
        </patternFill>
      </fill>
    </dxf>
    <dxf>
      <fill>
        <patternFill>
          <bgColor rgb="FFFFFFCC"/>
        </patternFill>
      </fill>
    </dxf>
    <dxf>
      <fill>
        <patternFill>
          <bgColor theme="8" tint="0.79998168889431442"/>
        </patternFill>
      </fill>
    </dxf>
    <dxf>
      <fill>
        <patternFill>
          <bgColor theme="9" tint="0.79998168889431442"/>
        </patternFill>
      </fill>
    </dxf>
    <dxf>
      <fill>
        <patternFill>
          <bgColor rgb="FFFFFFCC"/>
        </patternFill>
      </fill>
    </dxf>
    <dxf>
      <fill>
        <patternFill>
          <bgColor theme="2" tint="-9.9948118533890809E-2"/>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microsoft.com/office/2017/10/relationships/person" Target="persons/person.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SupportingPropertyBag" Target="richData/rdsupporting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SupportingPropertyBagStructure" Target="richData/rdsupportingpropertybagstructure.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ichStyles" Target="richData/richStyles.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29</xdr:row>
      <xdr:rowOff>41248</xdr:rowOff>
    </xdr:from>
    <xdr:to>
      <xdr:col>5</xdr:col>
      <xdr:colOff>815340</xdr:colOff>
      <xdr:row>48</xdr:row>
      <xdr:rowOff>160934</xdr:rowOff>
    </xdr:to>
    <xdr:pic>
      <xdr:nvPicPr>
        <xdr:cNvPr id="2" name="Picture 1">
          <a:extLst>
            <a:ext uri="{FF2B5EF4-FFF2-40B4-BE49-F238E27FC236}">
              <a16:creationId xmlns:a16="http://schemas.microsoft.com/office/drawing/2014/main" id="{5879F7A1-43CB-4227-91CD-937E3BEA5A5D}"/>
            </a:ext>
          </a:extLst>
        </xdr:cNvPr>
        <xdr:cNvPicPr>
          <a:picLocks noChangeAspect="1"/>
        </xdr:cNvPicPr>
      </xdr:nvPicPr>
      <xdr:blipFill>
        <a:blip xmlns:r="http://schemas.openxmlformats.org/officeDocument/2006/relationships" r:embed="rId1"/>
        <a:stretch>
          <a:fillRect/>
        </a:stretch>
      </xdr:blipFill>
      <xdr:spPr>
        <a:xfrm>
          <a:off x="678180" y="5306668"/>
          <a:ext cx="5303520" cy="3304846"/>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7</xdr:col>
      <xdr:colOff>205132</xdr:colOff>
      <xdr:row>29</xdr:row>
      <xdr:rowOff>68581</xdr:rowOff>
    </xdr:from>
    <xdr:to>
      <xdr:col>13</xdr:col>
      <xdr:colOff>533400</xdr:colOff>
      <xdr:row>48</xdr:row>
      <xdr:rowOff>144780</xdr:rowOff>
    </xdr:to>
    <xdr:pic>
      <xdr:nvPicPr>
        <xdr:cNvPr id="3" name="Picture 2">
          <a:extLst>
            <a:ext uri="{FF2B5EF4-FFF2-40B4-BE49-F238E27FC236}">
              <a16:creationId xmlns:a16="http://schemas.microsoft.com/office/drawing/2014/main" id="{E45042EB-5851-0C4C-1256-B216627DE93A}"/>
            </a:ext>
          </a:extLst>
        </xdr:cNvPr>
        <xdr:cNvPicPr>
          <a:picLocks noChangeAspect="1"/>
        </xdr:cNvPicPr>
      </xdr:nvPicPr>
      <xdr:blipFill>
        <a:blip xmlns:r="http://schemas.openxmlformats.org/officeDocument/2006/relationships" r:embed="rId2"/>
        <a:stretch>
          <a:fillRect/>
        </a:stretch>
      </xdr:blipFill>
      <xdr:spPr>
        <a:xfrm>
          <a:off x="7581292" y="5334001"/>
          <a:ext cx="5875628" cy="3261359"/>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19</xdr:col>
      <xdr:colOff>477497</xdr:colOff>
      <xdr:row>23</xdr:row>
      <xdr:rowOff>166807</xdr:rowOff>
    </xdr:to>
    <xdr:pic>
      <xdr:nvPicPr>
        <xdr:cNvPr id="2" name="Picture 1">
          <a:extLst>
            <a:ext uri="{FF2B5EF4-FFF2-40B4-BE49-F238E27FC236}">
              <a16:creationId xmlns:a16="http://schemas.microsoft.com/office/drawing/2014/main" id="{4CEF179A-FA06-461B-AC11-60FDF3541968}"/>
            </a:ext>
          </a:extLst>
        </xdr:cNvPr>
        <xdr:cNvPicPr>
          <a:picLocks noChangeAspect="1"/>
        </xdr:cNvPicPr>
      </xdr:nvPicPr>
      <xdr:blipFill>
        <a:blip xmlns:r="http://schemas.openxmlformats.org/officeDocument/2006/relationships" r:embed="rId1"/>
        <a:stretch>
          <a:fillRect/>
        </a:stretch>
      </xdr:blipFill>
      <xdr:spPr>
        <a:xfrm>
          <a:off x="6720840" y="190500"/>
          <a:ext cx="6573497" cy="4197787"/>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xdr:colOff>
      <xdr:row>39</xdr:row>
      <xdr:rowOff>11542</xdr:rowOff>
    </xdr:from>
    <xdr:to>
      <xdr:col>9</xdr:col>
      <xdr:colOff>53340</xdr:colOff>
      <xdr:row>42</xdr:row>
      <xdr:rowOff>39645</xdr:rowOff>
    </xdr:to>
    <xdr:pic>
      <xdr:nvPicPr>
        <xdr:cNvPr id="2" name="Picture 1">
          <a:extLst>
            <a:ext uri="{FF2B5EF4-FFF2-40B4-BE49-F238E27FC236}">
              <a16:creationId xmlns:a16="http://schemas.microsoft.com/office/drawing/2014/main" id="{69785BD0-03AD-FEFE-95AB-858532861C45}"/>
            </a:ext>
          </a:extLst>
        </xdr:cNvPr>
        <xdr:cNvPicPr>
          <a:picLocks noChangeAspect="1"/>
        </xdr:cNvPicPr>
      </xdr:nvPicPr>
      <xdr:blipFill>
        <a:blip xmlns:r="http://schemas.openxmlformats.org/officeDocument/2006/relationships" r:embed="rId1"/>
        <a:stretch>
          <a:fillRect/>
        </a:stretch>
      </xdr:blipFill>
      <xdr:spPr>
        <a:xfrm>
          <a:off x="8084821" y="6625702"/>
          <a:ext cx="2263139" cy="538643"/>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5</xdr:col>
      <xdr:colOff>644790</xdr:colOff>
      <xdr:row>43</xdr:row>
      <xdr:rowOff>121920</xdr:rowOff>
    </xdr:from>
    <xdr:to>
      <xdr:col>9</xdr:col>
      <xdr:colOff>7620</xdr:colOff>
      <xdr:row>49</xdr:row>
      <xdr:rowOff>0</xdr:rowOff>
    </xdr:to>
    <xdr:pic>
      <xdr:nvPicPr>
        <xdr:cNvPr id="4" name="Picture 3">
          <a:extLst>
            <a:ext uri="{FF2B5EF4-FFF2-40B4-BE49-F238E27FC236}">
              <a16:creationId xmlns:a16="http://schemas.microsoft.com/office/drawing/2014/main" id="{103F2961-0F08-6CF4-33FA-0AA9E35BF3BF}"/>
            </a:ext>
          </a:extLst>
        </xdr:cNvPr>
        <xdr:cNvPicPr>
          <a:picLocks noChangeAspect="1"/>
        </xdr:cNvPicPr>
      </xdr:nvPicPr>
      <xdr:blipFill>
        <a:blip xmlns:r="http://schemas.openxmlformats.org/officeDocument/2006/relationships" r:embed="rId2"/>
        <a:stretch>
          <a:fillRect/>
        </a:stretch>
      </xdr:blipFill>
      <xdr:spPr>
        <a:xfrm>
          <a:off x="8081910" y="7589520"/>
          <a:ext cx="2220330" cy="899160"/>
        </a:xfrm>
        <a:prstGeom prst="rect">
          <a:avLst/>
        </a:prstGeom>
        <a:ln>
          <a:noFill/>
        </a:ln>
        <a:effectLst>
          <a:outerShdw blurRad="292100" dist="139700" dir="2700000" algn="tl" rotWithShape="0">
            <a:srgbClr val="333333">
              <a:alpha val="65000"/>
            </a:srgbClr>
          </a:outerShdw>
        </a:effectLst>
      </xdr:spPr>
    </xdr:pic>
    <xdr:clientData/>
  </xdr:twoCellAnchor>
</xdr:wsDr>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https://www.bing.com/financeapi/forcetrigger?t=a1yjxm&amp;q=XNYS%3aNKE&amp;form=skydnc</v>
    <v>Learn more on Bing</v>
  </rv>
  <rv s="1">
    <v>en-US</v>
    <v>a1yjxm</v>
    <v>268435456</v>
    <v>1</v>
    <v>Powered by Refinitiv</v>
    <v>0</v>
    <v>NIKE, INC. (XNYS:NKE)</v>
    <v>2</v>
    <v>3</v>
    <v>Finance</v>
    <v>4</v>
    <v>123.3916</v>
    <v>70.750200000000007</v>
    <v>1.0132000000000001</v>
    <v>0.28000000000000003</v>
    <v>0</v>
    <v>3.362E-3</v>
    <v>0</v>
    <v>USD</v>
    <v>NIKE, Inc. is engaged in the designing, marketing and distributing of athletic footwear, apparel, equipment and accessories and services for sports and fitness activities. The Company's operating segments include North America; Europe, Middle East &amp; Africa (EMEA); Greater China; and Asia Pacific &amp; Latin America (APLA). It sells a line of equipment and accessories under the NIKE Brand name, including bags, socks, sport balls, eyewear, timepieces, digital devices, bats, gloves, protective equipment and other equipment designed for sports activities. It also designs products specifically for the Jordan Brand and Converse. The Jordan Brand designs, distributes and licenses athletic and casual footwear, apparel and accessories predominantly focused on basketball performance and culture using the Jumpman trademark. The Company also designs, distributes and licenses casual sneakers, apparel and accessories under the Chuck Taylor, All Star, One Star, Star Chevron and Jack Purcell trademarks.</v>
    <v>79400</v>
    <v>New York Stock Exchange</v>
    <v>XNYS</v>
    <v>XNYS</v>
    <v>One Bowerman Dr, BEAVERTON, OR, 97005-6453 US</v>
    <v>83.9</v>
    <v>Textiles &amp; Apparel</v>
    <v>Stock</v>
    <v>45524.999949825782</v>
    <v>0</v>
    <v>82.77</v>
    <v>125286438040</v>
    <v>NIKE, INC.</v>
    <v>NIKE, INC.</v>
    <v>83.49</v>
    <v>22.347100000000001</v>
    <v>83.28</v>
    <v>83.56</v>
    <v>83.56</v>
    <v>1499359000</v>
    <v>NKE</v>
    <v>NIKE, INC. (XNYS:NKE)</v>
    <v>7863052</v>
    <v>13079663</v>
    <v>1969</v>
  </rv>
  <rv s="2">
    <v>1</v>
  </rv>
</rvData>
</file>

<file path=xl/richData/rdrichvaluestructure.xml><?xml version="1.0" encoding="utf-8"?>
<rvStructures xmlns="http://schemas.microsoft.com/office/spreadsheetml/2017/richdata" count="3">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27" formatCode="m/d/yyyy\ h:mm"/>
    </x:dxf>
    <x:dxf>
      <x:numFmt numFmtId="1" formatCode="0"/>
    </x:dxf>
    <x:dxf>
      <x:numFmt numFmtId="2" formatCode="0.00"/>
    </x:dxf>
  </dxfs>
  <richProperties>
    <rPr n="NumberFormat" t="s"/>
    <rPr n="IsTitleField" t="b"/>
  </richProperties>
  <richStyles>
    <rSty dxfid="0">
      <rpv i="0">_([$$-en-US]* #,##0.00_);_([$$-en-US]* (#,##0.00);_([$$-en-US]* "-"??_);_(@_)</rpv>
    </rSty>
    <rSty dxfid="1">
      <rpv i="0">#,##0.00</rpv>
    </rSty>
    <rSty>
      <rpv i="1">1</rpv>
    </rSty>
    <rSty dxfid="2">
      <rpv i="0">#,##0</rpv>
    </rSty>
    <rSty dxfid="3"/>
    <rSty dxfid="0">
      <rpv i="0">_([$$-en-US]* #,##0_);_([$$-en-US]* (#,##0);_([$$-en-US]* "-"_);_(@_)</rpv>
    </rSty>
    <rSty dxfid="4"/>
    <rSty dxfid="5">
      <rpv i="0">0</rpv>
    </rSty>
    <rSty dxfid="6">
      <rpv i="0">0.00</rpv>
    </rSty>
  </richStyles>
</richStyleShee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hyperlink" Target="https://www.zacks.com/stock/chart/NKE/fundamental/beta" TargetMode="External"/><Relationship Id="rId2" Type="http://schemas.openxmlformats.org/officeDocument/2006/relationships/hyperlink" Target="https://neoinsight.wordpress.com/2024/05/20/cost-of-debt/" TargetMode="External"/><Relationship Id="rId1" Type="http://schemas.openxmlformats.org/officeDocument/2006/relationships/hyperlink" Target="https://markets.ft.com/data/bonds"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D3B57-F86D-4AEB-A002-A4D832922A5C}">
  <dimension ref="B2:C35"/>
  <sheetViews>
    <sheetView topLeftCell="A19" workbookViewId="0">
      <selection activeCell="C37" sqref="C37"/>
    </sheetView>
  </sheetViews>
  <sheetFormatPr defaultRowHeight="13.2" x14ac:dyDescent="0.25"/>
  <cols>
    <col min="2" max="2" width="2" bestFit="1" customWidth="1"/>
    <col min="3" max="3" width="59" customWidth="1"/>
    <col min="2000" max="2000" width="2.33203125" customWidth="1"/>
  </cols>
  <sheetData>
    <row r="2" spans="3:3" x14ac:dyDescent="0.25">
      <c r="C2" s="236" t="s">
        <v>282</v>
      </c>
    </row>
    <row r="3" spans="3:3" x14ac:dyDescent="0.25">
      <c r="C3" s="311" t="s">
        <v>280</v>
      </c>
    </row>
    <row r="4" spans="3:3" x14ac:dyDescent="0.25">
      <c r="C4" s="311" t="s">
        <v>267</v>
      </c>
    </row>
    <row r="5" spans="3:3" x14ac:dyDescent="0.25">
      <c r="C5" s="311" t="s">
        <v>269</v>
      </c>
    </row>
    <row r="6" spans="3:3" x14ac:dyDescent="0.25">
      <c r="C6" s="311" t="s">
        <v>295</v>
      </c>
    </row>
    <row r="7" spans="3:3" x14ac:dyDescent="0.25">
      <c r="C7" s="236" t="s">
        <v>266</v>
      </c>
    </row>
    <row r="8" spans="3:3" x14ac:dyDescent="0.25">
      <c r="C8" s="236" t="s">
        <v>290</v>
      </c>
    </row>
    <row r="11" spans="3:3" x14ac:dyDescent="0.25">
      <c r="C11" s="236" t="s">
        <v>283</v>
      </c>
    </row>
    <row r="12" spans="3:3" x14ac:dyDescent="0.25">
      <c r="C12" s="311" t="s">
        <v>284</v>
      </c>
    </row>
    <row r="13" spans="3:3" x14ac:dyDescent="0.25">
      <c r="C13" s="311" t="s">
        <v>292</v>
      </c>
    </row>
    <row r="14" spans="3:3" x14ac:dyDescent="0.25">
      <c r="C14" s="236"/>
    </row>
    <row r="15" spans="3:3" x14ac:dyDescent="0.25">
      <c r="C15" s="236"/>
    </row>
    <row r="16" spans="3:3" x14ac:dyDescent="0.25">
      <c r="C16" s="236"/>
    </row>
    <row r="18" spans="2:3" x14ac:dyDescent="0.25">
      <c r="C18" s="236" t="s">
        <v>285</v>
      </c>
    </row>
    <row r="19" spans="2:3" x14ac:dyDescent="0.25">
      <c r="C19" s="236" t="s">
        <v>265</v>
      </c>
    </row>
    <row r="20" spans="2:3" x14ac:dyDescent="0.25">
      <c r="C20" s="236" t="s">
        <v>281</v>
      </c>
    </row>
    <row r="21" spans="2:3" x14ac:dyDescent="0.25">
      <c r="C21" s="236" t="s">
        <v>271</v>
      </c>
    </row>
    <row r="22" spans="2:3" x14ac:dyDescent="0.25">
      <c r="C22" s="236" t="s">
        <v>272</v>
      </c>
    </row>
    <row r="23" spans="2:3" x14ac:dyDescent="0.25">
      <c r="C23" s="236" t="s">
        <v>268</v>
      </c>
    </row>
    <row r="26" spans="2:3" x14ac:dyDescent="0.25">
      <c r="C26" s="236" t="s">
        <v>300</v>
      </c>
    </row>
    <row r="27" spans="2:3" x14ac:dyDescent="0.25">
      <c r="B27">
        <v>1</v>
      </c>
      <c r="C27" s="236" t="s">
        <v>303</v>
      </c>
    </row>
    <row r="28" spans="2:3" x14ac:dyDescent="0.25">
      <c r="B28">
        <v>2</v>
      </c>
      <c r="C28" s="236" t="s">
        <v>304</v>
      </c>
    </row>
    <row r="29" spans="2:3" x14ac:dyDescent="0.25">
      <c r="B29">
        <v>3</v>
      </c>
      <c r="C29" s="236" t="s">
        <v>306</v>
      </c>
    </row>
    <row r="30" spans="2:3" x14ac:dyDescent="0.25">
      <c r="B30">
        <v>4</v>
      </c>
      <c r="C30" s="236" t="s">
        <v>305</v>
      </c>
    </row>
    <row r="31" spans="2:3" x14ac:dyDescent="0.25">
      <c r="B31">
        <v>5</v>
      </c>
      <c r="C31" s="236" t="s">
        <v>316</v>
      </c>
    </row>
    <row r="33" spans="2:3" x14ac:dyDescent="0.25">
      <c r="C33" s="236" t="s">
        <v>301</v>
      </c>
    </row>
    <row r="34" spans="2:3" x14ac:dyDescent="0.25">
      <c r="B34">
        <v>1</v>
      </c>
      <c r="C34" s="236" t="s">
        <v>302</v>
      </c>
    </row>
    <row r="35" spans="2:3" x14ac:dyDescent="0.25">
      <c r="B35">
        <v>2</v>
      </c>
      <c r="C35" s="236" t="s">
        <v>317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B128-5F11-41CF-BB8E-F2FA92658666}">
  <sheetPr>
    <tabColor theme="5" tint="-0.249977111117893"/>
  </sheetPr>
  <dimension ref="B2:W50"/>
  <sheetViews>
    <sheetView showGridLines="0" zoomScale="90" zoomScaleNormal="90" workbookViewId="0">
      <selection activeCell="K44" sqref="K44"/>
    </sheetView>
  </sheetViews>
  <sheetFormatPr defaultRowHeight="13.2" x14ac:dyDescent="0.25"/>
  <cols>
    <col min="1" max="1" width="8.88671875" style="13"/>
    <col min="2" max="2" width="34.88671875" style="13" customWidth="1"/>
    <col min="3" max="5" width="10.88671875" style="13" customWidth="1"/>
    <col min="6" max="6" width="11.5546875" style="13" bestFit="1" customWidth="1"/>
    <col min="7" max="8" width="10.88671875" style="13" customWidth="1"/>
    <col min="9" max="9" width="11" style="13" bestFit="1" customWidth="1"/>
    <col min="10" max="10" width="12.109375" style="13" customWidth="1"/>
    <col min="11" max="11" width="11.77734375" style="13" customWidth="1"/>
    <col min="12" max="16" width="11" style="13" bestFit="1" customWidth="1"/>
    <col min="17" max="17" width="12.109375" style="13" bestFit="1" customWidth="1"/>
    <col min="18" max="23" width="11" style="13" bestFit="1" customWidth="1"/>
    <col min="24" max="1999" width="8.88671875" style="13"/>
    <col min="2000" max="2000" width="2.33203125" style="13" customWidth="1"/>
    <col min="2001" max="16384" width="8.88671875" style="13"/>
  </cols>
  <sheetData>
    <row r="2" spans="2:23" ht="13.8" thickBot="1" x14ac:dyDescent="0.3">
      <c r="B2" s="127"/>
      <c r="C2" s="128">
        <v>2025</v>
      </c>
      <c r="D2" s="128">
        <v>2026</v>
      </c>
      <c r="E2" s="128">
        <v>2027</v>
      </c>
      <c r="F2" s="128">
        <v>2028</v>
      </c>
      <c r="G2" s="128">
        <v>2029</v>
      </c>
      <c r="H2" s="128">
        <v>2030</v>
      </c>
      <c r="I2" s="128">
        <v>2031</v>
      </c>
      <c r="J2" s="128">
        <v>2032</v>
      </c>
      <c r="K2" s="128">
        <v>2033</v>
      </c>
      <c r="L2" s="128">
        <v>2034</v>
      </c>
      <c r="M2" s="128">
        <v>2035</v>
      </c>
      <c r="N2" s="128" t="s">
        <v>91</v>
      </c>
    </row>
    <row r="3" spans="2:23" ht="13.8" thickTop="1" x14ac:dyDescent="0.25">
      <c r="B3" s="111" t="s">
        <v>92</v>
      </c>
      <c r="C3" s="112"/>
      <c r="D3" s="112"/>
      <c r="E3" s="90"/>
      <c r="F3" s="90"/>
      <c r="G3" s="90"/>
      <c r="H3" s="90"/>
      <c r="I3" s="90"/>
      <c r="J3" s="90"/>
      <c r="K3" s="90"/>
      <c r="L3" s="112"/>
      <c r="M3" s="112"/>
      <c r="N3" s="112"/>
    </row>
    <row r="4" spans="2:23" x14ac:dyDescent="0.25">
      <c r="B4" s="5" t="s">
        <v>113</v>
      </c>
      <c r="C4" s="66">
        <f>NOPAT!D12/Investment!C8</f>
        <v>0.38905976792948288</v>
      </c>
      <c r="D4" s="66">
        <f>NOPAT!E12/Investment!D8</f>
        <v>0.39053825830812888</v>
      </c>
      <c r="E4" s="66">
        <f>NOPAT!F12/Investment!E8</f>
        <v>0.39246014582095462</v>
      </c>
      <c r="F4" s="66">
        <f>NOPAT!G12/Investment!F8</f>
        <v>0.39416059959875976</v>
      </c>
      <c r="G4" s="66">
        <f>NOPAT!H12/Investment!G8</f>
        <v>0.39533712763037165</v>
      </c>
      <c r="H4" s="66">
        <f>NOPAT!I12/Investment!H8</f>
        <v>0.39596316030512829</v>
      </c>
      <c r="I4" s="66">
        <f>NOPAT!J12/Investment!I8</f>
        <v>0.39620634595845233</v>
      </c>
      <c r="J4" s="66">
        <f>NOPAT!K12/Investment!J8</f>
        <v>0.39627579968181248</v>
      </c>
      <c r="K4" s="66">
        <f>NOPAT!L12/Investment!K8</f>
        <v>0.39627579968181292</v>
      </c>
      <c r="L4" s="66">
        <f>NOPAT!M12/Investment!L8</f>
        <v>0.39627579968181292</v>
      </c>
      <c r="M4" s="66">
        <f>NOPAT!N12/Investment!M8</f>
        <v>0.39627579968181265</v>
      </c>
      <c r="N4" s="66">
        <f>NOPAT!O12/Investment!N8</f>
        <v>0.39627579968181276</v>
      </c>
    </row>
    <row r="5" spans="2:23" x14ac:dyDescent="0.25">
      <c r="B5" s="5" t="s">
        <v>93</v>
      </c>
      <c r="C5" s="110">
        <f>-'DCF Method'!C23</f>
        <v>-8.7847403778100519E-2</v>
      </c>
      <c r="D5" s="110">
        <f>C5</f>
        <v>-8.7847403778100519E-2</v>
      </c>
      <c r="E5" s="110">
        <f t="shared" ref="E5:N5" si="0">D5</f>
        <v>-8.7847403778100519E-2</v>
      </c>
      <c r="F5" s="110">
        <f t="shared" si="0"/>
        <v>-8.7847403778100519E-2</v>
      </c>
      <c r="G5" s="110">
        <f t="shared" si="0"/>
        <v>-8.7847403778100519E-2</v>
      </c>
      <c r="H5" s="110">
        <f t="shared" si="0"/>
        <v>-8.7847403778100519E-2</v>
      </c>
      <c r="I5" s="110">
        <f t="shared" si="0"/>
        <v>-8.7847403778100519E-2</v>
      </c>
      <c r="J5" s="110">
        <f t="shared" si="0"/>
        <v>-8.7847403778100519E-2</v>
      </c>
      <c r="K5" s="110">
        <f t="shared" si="0"/>
        <v>-8.7847403778100519E-2</v>
      </c>
      <c r="L5" s="110">
        <f t="shared" si="0"/>
        <v>-8.7847403778100519E-2</v>
      </c>
      <c r="M5" s="110">
        <f t="shared" si="0"/>
        <v>-8.7847403778100519E-2</v>
      </c>
      <c r="N5" s="110">
        <f t="shared" si="0"/>
        <v>-8.7847403778100519E-2</v>
      </c>
    </row>
    <row r="6" spans="2:23" x14ac:dyDescent="0.25">
      <c r="B6" s="67" t="s">
        <v>94</v>
      </c>
      <c r="C6" s="68">
        <f>SUM(C4:C5)</f>
        <v>0.30121236415138236</v>
      </c>
      <c r="D6" s="68">
        <f>SUM(D4:D5)</f>
        <v>0.30269085453002836</v>
      </c>
      <c r="E6" s="68">
        <f t="shared" ref="E6:N6" si="1">SUM(E4:E5)</f>
        <v>0.3046127420428541</v>
      </c>
      <c r="F6" s="68">
        <f t="shared" si="1"/>
        <v>0.30631319582065925</v>
      </c>
      <c r="G6" s="68">
        <f t="shared" si="1"/>
        <v>0.30748972385227114</v>
      </c>
      <c r="H6" s="68">
        <f t="shared" si="1"/>
        <v>0.30811575652702777</v>
      </c>
      <c r="I6" s="68">
        <f t="shared" si="1"/>
        <v>0.30835894218035181</v>
      </c>
      <c r="J6" s="68">
        <f t="shared" si="1"/>
        <v>0.30842839590371196</v>
      </c>
      <c r="K6" s="68">
        <f t="shared" si="1"/>
        <v>0.3084283959037124</v>
      </c>
      <c r="L6" s="68">
        <f t="shared" si="1"/>
        <v>0.3084283959037124</v>
      </c>
      <c r="M6" s="68">
        <f t="shared" si="1"/>
        <v>0.30842839590371213</v>
      </c>
      <c r="N6" s="68">
        <f t="shared" si="1"/>
        <v>0.30842839590371224</v>
      </c>
    </row>
    <row r="7" spans="2:23" x14ac:dyDescent="0.25">
      <c r="B7" s="5" t="s">
        <v>95</v>
      </c>
      <c r="C7" s="307">
        <f>Investment!C8</f>
        <v>15385.239999999998</v>
      </c>
      <c r="D7" s="307">
        <f>Investment!D8</f>
        <v>15796.659233817594</v>
      </c>
      <c r="E7" s="307">
        <f>Investment!E8</f>
        <v>16257.745173682357</v>
      </c>
      <c r="F7" s="307">
        <f>Investment!F8</f>
        <v>16854.368857338017</v>
      </c>
      <c r="G7" s="307">
        <f>Investment!G8</f>
        <v>17577.925192198712</v>
      </c>
      <c r="H7" s="307">
        <f>Investment!H8</f>
        <v>18404.088558859898</v>
      </c>
      <c r="I7" s="307">
        <f>Investment!I8</f>
        <v>19306.75889810234</v>
      </c>
      <c r="J7" s="307">
        <f>Investment!J8</f>
        <v>20268.411956235075</v>
      </c>
      <c r="K7" s="307">
        <f>Investment!K8</f>
        <v>21281.832554046814</v>
      </c>
      <c r="L7" s="307">
        <f>Investment!L8</f>
        <v>22345.924181749157</v>
      </c>
      <c r="M7" s="307">
        <f>Investment!M8</f>
        <v>23463.220390836628</v>
      </c>
      <c r="N7" s="307">
        <f>Investment!N8</f>
        <v>24636.38141037845</v>
      </c>
    </row>
    <row r="8" spans="2:23" ht="13.8" thickBot="1" x14ac:dyDescent="0.3">
      <c r="B8" s="10" t="s">
        <v>96</v>
      </c>
      <c r="C8" s="306">
        <f>C7*C6</f>
        <v>4634.224513436413</v>
      </c>
      <c r="D8" s="306">
        <f>D7*D6</f>
        <v>4781.5042822039104</v>
      </c>
      <c r="E8" s="306">
        <f t="shared" ref="E8:N8" si="2">E7*E6</f>
        <v>4952.3163367893603</v>
      </c>
      <c r="F8" s="306">
        <f t="shared" si="2"/>
        <v>5162.7155882314009</v>
      </c>
      <c r="G8" s="306">
        <f t="shared" si="2"/>
        <v>5405.0313632450625</v>
      </c>
      <c r="H8" s="306">
        <f t="shared" si="2"/>
        <v>5670.5896695035335</v>
      </c>
      <c r="I8" s="306">
        <f t="shared" si="2"/>
        <v>5953.4117507499323</v>
      </c>
      <c r="J8" s="306">
        <f t="shared" si="2"/>
        <v>6251.3537871772005</v>
      </c>
      <c r="K8" s="306">
        <f t="shared" si="2"/>
        <v>6563.9214765360657</v>
      </c>
      <c r="L8" s="306">
        <f t="shared" si="2"/>
        <v>6892.1175503628692</v>
      </c>
      <c r="M8" s="306">
        <f t="shared" si="2"/>
        <v>7236.723427881011</v>
      </c>
      <c r="N8" s="306">
        <f t="shared" si="2"/>
        <v>7598.5595992750614</v>
      </c>
    </row>
    <row r="9" spans="2:23" ht="13.8" thickTop="1" x14ac:dyDescent="0.25">
      <c r="B9" s="5"/>
      <c r="G9" s="18"/>
    </row>
    <row r="10" spans="2:23" x14ac:dyDescent="0.25">
      <c r="B10" s="89" t="s">
        <v>117</v>
      </c>
      <c r="C10" s="90"/>
      <c r="D10" s="90"/>
      <c r="E10" s="90"/>
      <c r="F10" s="90"/>
      <c r="G10" s="305"/>
      <c r="H10" s="90"/>
      <c r="I10" s="90"/>
      <c r="J10" s="90"/>
      <c r="K10" s="90"/>
      <c r="L10" s="90"/>
      <c r="M10" s="90"/>
      <c r="N10" s="90"/>
    </row>
    <row r="11" spans="2:23" x14ac:dyDescent="0.25">
      <c r="B11" s="5" t="s">
        <v>53</v>
      </c>
      <c r="C11" s="69">
        <f>C7</f>
        <v>15385.239999999998</v>
      </c>
      <c r="D11" s="69">
        <f>D7</f>
        <v>15796.659233817594</v>
      </c>
      <c r="E11" s="69">
        <f t="shared" ref="E11:N11" si="3">E7</f>
        <v>16257.745173682357</v>
      </c>
      <c r="F11" s="69">
        <f t="shared" si="3"/>
        <v>16854.368857338017</v>
      </c>
      <c r="G11" s="69">
        <f t="shared" si="3"/>
        <v>17577.925192198712</v>
      </c>
      <c r="H11" s="69">
        <f t="shared" si="3"/>
        <v>18404.088558859898</v>
      </c>
      <c r="I11" s="69">
        <f t="shared" si="3"/>
        <v>19306.75889810234</v>
      </c>
      <c r="J11" s="69">
        <f t="shared" si="3"/>
        <v>20268.411956235075</v>
      </c>
      <c r="K11" s="69">
        <f t="shared" si="3"/>
        <v>21281.832554046814</v>
      </c>
      <c r="L11" s="69">
        <f t="shared" si="3"/>
        <v>22345.924181749157</v>
      </c>
      <c r="M11" s="69">
        <f t="shared" si="3"/>
        <v>23463.220390836628</v>
      </c>
      <c r="N11" s="69">
        <f t="shared" si="3"/>
        <v>24636.38141037845</v>
      </c>
    </row>
    <row r="12" spans="2:23" x14ac:dyDescent="0.25">
      <c r="B12" s="5" t="s">
        <v>97</v>
      </c>
      <c r="C12" s="110">
        <f>C5</f>
        <v>-8.7847403778100519E-2</v>
      </c>
      <c r="D12" s="110">
        <f>D5</f>
        <v>-8.7847403778100519E-2</v>
      </c>
      <c r="E12" s="110">
        <f t="shared" ref="E12:N12" si="4">E5</f>
        <v>-8.7847403778100519E-2</v>
      </c>
      <c r="F12" s="110">
        <f t="shared" si="4"/>
        <v>-8.7847403778100519E-2</v>
      </c>
      <c r="G12" s="110">
        <f t="shared" si="4"/>
        <v>-8.7847403778100519E-2</v>
      </c>
      <c r="H12" s="110">
        <f t="shared" si="4"/>
        <v>-8.7847403778100519E-2</v>
      </c>
      <c r="I12" s="110">
        <f t="shared" si="4"/>
        <v>-8.7847403778100519E-2</v>
      </c>
      <c r="J12" s="110">
        <f t="shared" si="4"/>
        <v>-8.7847403778100519E-2</v>
      </c>
      <c r="K12" s="110">
        <f t="shared" si="4"/>
        <v>-8.7847403778100519E-2</v>
      </c>
      <c r="L12" s="110">
        <f t="shared" si="4"/>
        <v>-8.7847403778100519E-2</v>
      </c>
      <c r="M12" s="110">
        <f t="shared" si="4"/>
        <v>-8.7847403778100519E-2</v>
      </c>
      <c r="N12" s="110">
        <f t="shared" si="4"/>
        <v>-8.7847403778100519E-2</v>
      </c>
    </row>
    <row r="13" spans="2:23" x14ac:dyDescent="0.25">
      <c r="B13" s="67" t="s">
        <v>98</v>
      </c>
      <c r="C13" s="308">
        <f>C12*C11</f>
        <v>-1351.5533905029831</v>
      </c>
      <c r="D13" s="308">
        <f>D12*D11</f>
        <v>-1387.6955020582341</v>
      </c>
      <c r="E13" s="308">
        <f t="shared" ref="E13:N13" si="5">E12*E11</f>
        <v>-1428.2007047939389</v>
      </c>
      <c r="F13" s="308">
        <f t="shared" si="5"/>
        <v>-1480.6125464356155</v>
      </c>
      <c r="G13" s="308">
        <f t="shared" si="5"/>
        <v>-1544.1750919403255</v>
      </c>
      <c r="H13" s="308">
        <f t="shared" si="5"/>
        <v>-1616.7513987980856</v>
      </c>
      <c r="I13" s="308">
        <f t="shared" si="5"/>
        <v>-1696.0486445680312</v>
      </c>
      <c r="J13" s="308">
        <f t="shared" si="5"/>
        <v>-1780.5273690602628</v>
      </c>
      <c r="K13" s="308">
        <f t="shared" si="5"/>
        <v>-1869.5537375132747</v>
      </c>
      <c r="L13" s="308">
        <f t="shared" si="5"/>
        <v>-1963.0314243889386</v>
      </c>
      <c r="M13" s="308">
        <f t="shared" si="5"/>
        <v>-2061.1829956083866</v>
      </c>
      <c r="N13" s="308">
        <f t="shared" si="5"/>
        <v>-2164.2421453888051</v>
      </c>
    </row>
    <row r="14" spans="2:23" x14ac:dyDescent="0.25">
      <c r="B14" s="6" t="s">
        <v>16</v>
      </c>
      <c r="C14" s="70">
        <f>NOPAT!D12</f>
        <v>5985.7779039393963</v>
      </c>
      <c r="D14" s="70">
        <f>NOPAT!E12</f>
        <v>6169.1997842621449</v>
      </c>
      <c r="E14" s="70">
        <f>NOPAT!F12</f>
        <v>6380.517041583299</v>
      </c>
      <c r="F14" s="70">
        <f>NOPAT!G12</f>
        <v>6643.3281346670165</v>
      </c>
      <c r="G14" s="70">
        <f>NOPAT!H12</f>
        <v>6949.2064551853873</v>
      </c>
      <c r="H14" s="70">
        <f>NOPAT!I12</f>
        <v>7287.3410683016191</v>
      </c>
      <c r="I14" s="70">
        <f>NOPAT!J12</f>
        <v>7649.460395317964</v>
      </c>
      <c r="J14" s="70">
        <f>NOPAT!K12</f>
        <v>8031.881156237464</v>
      </c>
      <c r="K14" s="70">
        <f>NOPAT!L12</f>
        <v>8433.4752140493401</v>
      </c>
      <c r="L14" s="70">
        <f>NOPAT!M12</f>
        <v>8855.1489747518081</v>
      </c>
      <c r="M14" s="70">
        <f>NOPAT!N12</f>
        <v>9297.9064234893976</v>
      </c>
      <c r="N14" s="70">
        <f>NOPAT!O12</f>
        <v>9762.801744663866</v>
      </c>
    </row>
    <row r="15" spans="2:23" ht="13.8" thickBot="1" x14ac:dyDescent="0.3">
      <c r="B15" s="10" t="s">
        <v>96</v>
      </c>
      <c r="C15" s="306">
        <f>SUM(C13:C14)</f>
        <v>4634.224513436413</v>
      </c>
      <c r="D15" s="306">
        <f>SUM(D13:D14)</f>
        <v>4781.5042822039104</v>
      </c>
      <c r="E15" s="306">
        <f t="shared" ref="E15:N15" si="6">SUM(E13:E14)</f>
        <v>4952.3163367893603</v>
      </c>
      <c r="F15" s="306">
        <f t="shared" si="6"/>
        <v>5162.7155882314009</v>
      </c>
      <c r="G15" s="306">
        <f t="shared" si="6"/>
        <v>5405.0313632450616</v>
      </c>
      <c r="H15" s="306">
        <f t="shared" si="6"/>
        <v>5670.5896695035335</v>
      </c>
      <c r="I15" s="306">
        <f t="shared" si="6"/>
        <v>5953.4117507499323</v>
      </c>
      <c r="J15" s="306">
        <f t="shared" si="6"/>
        <v>6251.3537871772014</v>
      </c>
      <c r="K15" s="306">
        <f t="shared" si="6"/>
        <v>6563.9214765360657</v>
      </c>
      <c r="L15" s="306">
        <f t="shared" si="6"/>
        <v>6892.1175503628692</v>
      </c>
      <c r="M15" s="306">
        <f t="shared" si="6"/>
        <v>7236.723427881011</v>
      </c>
      <c r="N15" s="306">
        <f t="shared" si="6"/>
        <v>7598.5595992750605</v>
      </c>
    </row>
    <row r="16" spans="2:23" ht="13.8" thickTop="1" x14ac:dyDescent="0.25">
      <c r="C16" s="18"/>
      <c r="D16" s="18"/>
      <c r="K16" s="97"/>
      <c r="L16" s="18"/>
      <c r="M16" s="18"/>
      <c r="N16" s="18"/>
      <c r="W16" s="71"/>
    </row>
    <row r="17" spans="2:23" x14ac:dyDescent="0.25">
      <c r="B17" s="13" t="s">
        <v>118</v>
      </c>
      <c r="C17" s="70">
        <f>C12*Investment!C10</f>
        <v>-113.49884568130587</v>
      </c>
      <c r="D17" s="70">
        <f>D12*Investment!D10</f>
        <v>-113.49884568130587</v>
      </c>
      <c r="E17" s="70">
        <f>E12*Investment!E10</f>
        <v>-113.49884568130587</v>
      </c>
      <c r="F17" s="70">
        <f>F12*Investment!F10</f>
        <v>-113.49884568130587</v>
      </c>
      <c r="G17" s="70">
        <f>G12*Investment!G10</f>
        <v>-113.49884568130587</v>
      </c>
      <c r="H17" s="70">
        <f>H12*Investment!H10</f>
        <v>-113.49884568130587</v>
      </c>
      <c r="I17" s="70">
        <f>I12*Investment!I10</f>
        <v>-113.49884568130587</v>
      </c>
      <c r="J17" s="70">
        <f>J12*Investment!J10</f>
        <v>-113.49884568130587</v>
      </c>
      <c r="K17" s="70">
        <f>K12*Investment!K10</f>
        <v>-113.49884568130587</v>
      </c>
      <c r="L17" s="70">
        <f>L12*Investment!L10</f>
        <v>-113.49884568130587</v>
      </c>
      <c r="M17" s="70">
        <f>M12*Investment!M10</f>
        <v>-113.49884568130587</v>
      </c>
      <c r="N17" s="70">
        <f>N12*Investment!N10</f>
        <v>-113.49884568130587</v>
      </c>
      <c r="W17" s="71"/>
    </row>
    <row r="18" spans="2:23" ht="13.8" thickBot="1" x14ac:dyDescent="0.3">
      <c r="B18" s="10" t="s">
        <v>114</v>
      </c>
      <c r="C18" s="306">
        <f>C17+C15</f>
        <v>4520.7256677551068</v>
      </c>
      <c r="D18" s="306">
        <f>D17+D15</f>
        <v>4668.0054365226042</v>
      </c>
      <c r="E18" s="306">
        <f t="shared" ref="E18:L18" si="7">E17+E15</f>
        <v>4838.8174911080541</v>
      </c>
      <c r="F18" s="306">
        <f t="shared" si="7"/>
        <v>5049.2167425500948</v>
      </c>
      <c r="G18" s="306">
        <f t="shared" si="7"/>
        <v>5291.5325175637554</v>
      </c>
      <c r="H18" s="306">
        <f t="shared" si="7"/>
        <v>5557.0908238222273</v>
      </c>
      <c r="I18" s="306">
        <f t="shared" si="7"/>
        <v>5839.9129050686261</v>
      </c>
      <c r="J18" s="306">
        <f t="shared" si="7"/>
        <v>6137.8549414958952</v>
      </c>
      <c r="K18" s="306">
        <f t="shared" si="7"/>
        <v>6450.4226308547595</v>
      </c>
      <c r="L18" s="306">
        <f t="shared" si="7"/>
        <v>6778.618704681563</v>
      </c>
      <c r="M18" s="306">
        <f>M17+M15</f>
        <v>7123.2245821997049</v>
      </c>
      <c r="N18" s="306">
        <f>N17+N15</f>
        <v>7485.0607535937543</v>
      </c>
      <c r="W18" s="71"/>
    </row>
    <row r="19" spans="2:23" ht="13.8" thickTop="1" x14ac:dyDescent="0.25">
      <c r="C19" s="118"/>
      <c r="D19" s="118"/>
      <c r="E19" s="118"/>
      <c r="F19" s="118"/>
      <c r="G19" s="118"/>
      <c r="H19" s="118"/>
      <c r="I19" s="118"/>
      <c r="J19" s="118"/>
      <c r="K19" s="118"/>
      <c r="L19" s="118"/>
      <c r="M19" s="118"/>
      <c r="N19" s="118"/>
      <c r="W19" s="71"/>
    </row>
    <row r="20" spans="2:23" x14ac:dyDescent="0.25">
      <c r="B20" s="115" t="s">
        <v>120</v>
      </c>
      <c r="C20" s="116">
        <f>NOPAT!D12/Investment!C11</f>
        <v>0.35891897603796535</v>
      </c>
      <c r="D20" s="116">
        <f>NOPAT!E12/Investment!D11</f>
        <v>0.36101134090459303</v>
      </c>
      <c r="E20" s="116">
        <f>NOPAT!F12/Investment!E11</f>
        <v>0.36356750359837353</v>
      </c>
      <c r="F20" s="116">
        <f>NOPAT!G12/Investment!F11</f>
        <v>0.3660968311013138</v>
      </c>
      <c r="G20" s="116">
        <f>NOPAT!H12/Investment!G11</f>
        <v>0.36826889266409807</v>
      </c>
      <c r="H20" s="116">
        <f>NOPAT!I12/Investment!H11</f>
        <v>0.36998925175037112</v>
      </c>
      <c r="I20" s="116">
        <f>NOPAT!J12/Investment!I11</f>
        <v>0.37135540219477348</v>
      </c>
      <c r="J20" s="116">
        <f>NOPAT!K12/Investment!J11</f>
        <v>0.37252911366170427</v>
      </c>
      <c r="K20" s="116">
        <f>NOPAT!L12/Investment!K11</f>
        <v>0.37359518787329138</v>
      </c>
      <c r="L20" s="116">
        <f>NOPAT!M12/Investment!L11</f>
        <v>0.37461618485048148</v>
      </c>
      <c r="M20" s="116">
        <f>NOPAT!N12/Investment!M11</f>
        <v>0.37559376473703715</v>
      </c>
      <c r="N20" s="116">
        <f>NOPAT!O12/Investment!N11</f>
        <v>0.37652954845673758</v>
      </c>
      <c r="W20" s="71"/>
    </row>
    <row r="21" spans="2:23" ht="13.8" thickBot="1" x14ac:dyDescent="0.3">
      <c r="J21" s="121"/>
      <c r="K21" s="18"/>
      <c r="M21" s="18"/>
    </row>
    <row r="22" spans="2:23" ht="26.4" x14ac:dyDescent="0.25">
      <c r="B22" s="133" t="s">
        <v>99</v>
      </c>
      <c r="C22" s="129" t="s">
        <v>100</v>
      </c>
      <c r="D22" s="130" t="s">
        <v>101</v>
      </c>
      <c r="E22" s="130" t="s">
        <v>102</v>
      </c>
      <c r="F22" s="131" t="s">
        <v>103</v>
      </c>
      <c r="G22" s="132" t="s">
        <v>104</v>
      </c>
      <c r="H22" s="132" t="s">
        <v>105</v>
      </c>
      <c r="M22" s="133" t="s">
        <v>126</v>
      </c>
      <c r="N22" s="132"/>
    </row>
    <row r="23" spans="2:23" x14ac:dyDescent="0.25">
      <c r="B23" s="193">
        <v>1</v>
      </c>
      <c r="C23" s="85" cm="1">
        <f t="array" ref="C23:C34">TRANSPOSE(Investment!C11:N11)</f>
        <v>16677.239999999998</v>
      </c>
      <c r="D23" s="73" cm="1">
        <f t="array" ref="D23:D34">TRANSPOSE(C20:N20)</f>
        <v>0.35891897603796535</v>
      </c>
      <c r="E23" s="113" cm="1">
        <f t="array" ref="E23:E34">TRANSPOSE(C5:N5)</f>
        <v>-8.7847403778100519E-2</v>
      </c>
      <c r="F23" s="86">
        <f>C23*(D23+E23)</f>
        <v>4520.7256677551077</v>
      </c>
      <c r="G23" s="74">
        <f>1/(1-E23)^B23</f>
        <v>0.91924657495802631</v>
      </c>
      <c r="H23" s="194">
        <f>G23*F23</f>
        <v>4155.6615864087189</v>
      </c>
      <c r="M23" s="13" t="s">
        <v>58</v>
      </c>
      <c r="N23" s="118">
        <f>'DCF Method'!C23</f>
        <v>8.7847403778100519E-2</v>
      </c>
    </row>
    <row r="24" spans="2:23" x14ac:dyDescent="0.25">
      <c r="B24" s="144">
        <f>B23+1</f>
        <v>2</v>
      </c>
      <c r="C24" s="85">
        <v>17088.659233817594</v>
      </c>
      <c r="D24" s="73">
        <v>0.36101134090459303</v>
      </c>
      <c r="E24" s="73">
        <v>-8.7847403778100519E-2</v>
      </c>
      <c r="F24" s="86">
        <f t="shared" ref="F24" si="8">C24*(D24+E24)</f>
        <v>4668.0054365226051</v>
      </c>
      <c r="G24" s="74">
        <f>1/(1-E24)^B24</f>
        <v>0.84501426557206227</v>
      </c>
      <c r="H24" s="194">
        <f t="shared" ref="H24:H33" si="9">G24*F24</f>
        <v>3944.531185629543</v>
      </c>
      <c r="M24" s="13" t="s">
        <v>121</v>
      </c>
      <c r="N24" s="118">
        <f>'DCF Method'!C21</f>
        <v>4.9999999999999822E-2</v>
      </c>
    </row>
    <row r="25" spans="2:23" x14ac:dyDescent="0.25">
      <c r="B25" s="144">
        <f t="shared" ref="B25:B33" si="10">B24+1</f>
        <v>3</v>
      </c>
      <c r="C25" s="85">
        <v>17549.745173682357</v>
      </c>
      <c r="D25" s="73">
        <v>0.36356750359837353</v>
      </c>
      <c r="E25" s="73">
        <v>-8.7847403778100519E-2</v>
      </c>
      <c r="F25" s="86">
        <f>C25*(D25+E25)</f>
        <v>4838.8174911080541</v>
      </c>
      <c r="G25" s="74">
        <f>1/(1-E25)^B25</f>
        <v>0.77677646941779033</v>
      </c>
      <c r="H25" s="194">
        <f t="shared" si="9"/>
        <v>3758.6795668999644</v>
      </c>
      <c r="M25" s="13" t="s">
        <v>125</v>
      </c>
      <c r="N25" s="119">
        <f>N20</f>
        <v>0.37652954845673758</v>
      </c>
    </row>
    <row r="26" spans="2:23" x14ac:dyDescent="0.25">
      <c r="B26" s="144">
        <f t="shared" si="10"/>
        <v>4</v>
      </c>
      <c r="C26" s="85">
        <v>18146.368857338017</v>
      </c>
      <c r="D26" s="73">
        <v>0.3660968311013138</v>
      </c>
      <c r="E26" s="73">
        <v>-8.7847403778100519E-2</v>
      </c>
      <c r="F26" s="86">
        <f t="shared" ref="F26:F33" si="11">C26*(D26+E26)</f>
        <v>5049.2167425500957</v>
      </c>
      <c r="G26" s="74">
        <f t="shared" ref="G26:G32" si="12">1/(1-E26)^B26</f>
        <v>0.71404910902029184</v>
      </c>
      <c r="H26" s="194">
        <f t="shared" si="9"/>
        <v>3605.3887162682363</v>
      </c>
      <c r="M26" s="13" t="s">
        <v>54</v>
      </c>
      <c r="N26" s="119">
        <f>'DCF Method'!C22</f>
        <v>0.39627579968181464</v>
      </c>
    </row>
    <row r="27" spans="2:23" x14ac:dyDescent="0.25">
      <c r="B27" s="144">
        <f t="shared" si="10"/>
        <v>5</v>
      </c>
      <c r="C27" s="85">
        <v>18869.925192198712</v>
      </c>
      <c r="D27" s="73">
        <v>0.36826889266409807</v>
      </c>
      <c r="E27" s="73">
        <v>-8.7847403778100519E-2</v>
      </c>
      <c r="F27" s="86">
        <f t="shared" si="11"/>
        <v>5291.5325175637563</v>
      </c>
      <c r="G27" s="74">
        <f t="shared" si="12"/>
        <v>0.65638719781873356</v>
      </c>
      <c r="H27" s="194">
        <f t="shared" si="9"/>
        <v>3473.2942013703823</v>
      </c>
      <c r="M27" s="90" t="s">
        <v>122</v>
      </c>
      <c r="N27" s="282">
        <f>C34</f>
        <v>25928.38141037845</v>
      </c>
    </row>
    <row r="28" spans="2:23" x14ac:dyDescent="0.25">
      <c r="B28" s="144">
        <f t="shared" si="10"/>
        <v>6</v>
      </c>
      <c r="C28" s="85">
        <v>19696.088558859898</v>
      </c>
      <c r="D28" s="73">
        <v>0.36998925175037112</v>
      </c>
      <c r="E28" s="73">
        <v>-8.7847403778100519E-2</v>
      </c>
      <c r="F28" s="86">
        <f t="shared" si="11"/>
        <v>5557.0908238222273</v>
      </c>
      <c r="G28" s="74">
        <f t="shared" si="12"/>
        <v>0.60338168344116738</v>
      </c>
      <c r="H28" s="194">
        <f t="shared" si="9"/>
        <v>3353.0468163133191</v>
      </c>
    </row>
    <row r="29" spans="2:23" x14ac:dyDescent="0.25">
      <c r="B29" s="144">
        <f t="shared" si="10"/>
        <v>7</v>
      </c>
      <c r="C29" s="85">
        <v>20598.75889810234</v>
      </c>
      <c r="D29" s="73">
        <v>0.37135540219477348</v>
      </c>
      <c r="E29" s="73">
        <v>-8.7847403778100519E-2</v>
      </c>
      <c r="F29" s="86">
        <f t="shared" si="11"/>
        <v>5839.9129050686261</v>
      </c>
      <c r="G29" s="74">
        <f t="shared" si="12"/>
        <v>0.55465654589570113</v>
      </c>
      <c r="H29" s="194">
        <f t="shared" si="9"/>
        <v>3239.1459202570936</v>
      </c>
      <c r="M29" s="13" t="s">
        <v>123</v>
      </c>
      <c r="N29" s="97">
        <f>(N27*(N25-N23))/N23</f>
        <v>85205.258569743935</v>
      </c>
    </row>
    <row r="30" spans="2:23" x14ac:dyDescent="0.25">
      <c r="B30" s="144">
        <f t="shared" si="10"/>
        <v>8</v>
      </c>
      <c r="C30" s="85">
        <v>21560.411956235075</v>
      </c>
      <c r="D30" s="73">
        <v>0.37252911366170427</v>
      </c>
      <c r="E30" s="73">
        <v>-8.7847403778100519E-2</v>
      </c>
      <c r="F30" s="86">
        <f t="shared" si="11"/>
        <v>6137.8549414958952</v>
      </c>
      <c r="G30" s="74">
        <f t="shared" si="12"/>
        <v>0.50986613009267268</v>
      </c>
      <c r="H30" s="194">
        <f t="shared" si="9"/>
        <v>3129.4843460907</v>
      </c>
      <c r="M30" s="13" t="s">
        <v>124</v>
      </c>
      <c r="N30" s="78">
        <f>(((N14*(N24/N26))*(N26-N23))/N23)/(N23-N24)</f>
        <v>114271.05948518573</v>
      </c>
    </row>
    <row r="31" spans="2:23" x14ac:dyDescent="0.25">
      <c r="B31" s="144">
        <f t="shared" si="10"/>
        <v>9</v>
      </c>
      <c r="C31" s="85">
        <v>22573.832554046814</v>
      </c>
      <c r="D31" s="73">
        <v>0.37359518787329138</v>
      </c>
      <c r="E31" s="73">
        <v>-8.7847403778100519E-2</v>
      </c>
      <c r="F31" s="86">
        <f t="shared" si="11"/>
        <v>6450.4226308547595</v>
      </c>
      <c r="G31" s="74">
        <f t="shared" si="12"/>
        <v>0.46869269377479283</v>
      </c>
      <c r="H31" s="194">
        <f t="shared" si="9"/>
        <v>3023.2659588412034</v>
      </c>
      <c r="M31" s="90" t="s">
        <v>91</v>
      </c>
      <c r="N31" s="287">
        <f>N29+N30</f>
        <v>199476.31805492967</v>
      </c>
    </row>
    <row r="32" spans="2:23" x14ac:dyDescent="0.25">
      <c r="B32" s="144">
        <f t="shared" si="10"/>
        <v>10</v>
      </c>
      <c r="C32" s="85">
        <v>23637.924181749157</v>
      </c>
      <c r="D32" s="73">
        <v>0.37461618485048148</v>
      </c>
      <c r="E32" s="73">
        <v>-8.7847403778100519E-2</v>
      </c>
      <c r="F32" s="86">
        <f t="shared" si="11"/>
        <v>6778.6187046815639</v>
      </c>
      <c r="G32" s="74">
        <f t="shared" si="12"/>
        <v>0.43084415346032934</v>
      </c>
      <c r="H32" s="194">
        <f t="shared" si="9"/>
        <v>2920.5282374488825</v>
      </c>
    </row>
    <row r="33" spans="2:12" x14ac:dyDescent="0.25">
      <c r="B33" s="144">
        <f t="shared" si="10"/>
        <v>11</v>
      </c>
      <c r="C33" s="85">
        <v>24755.220390836628</v>
      </c>
      <c r="D33" s="73">
        <v>0.37559376473703715</v>
      </c>
      <c r="E33" s="73">
        <v>-8.7847403778100519E-2</v>
      </c>
      <c r="F33" s="86">
        <f t="shared" si="11"/>
        <v>7123.2245821997049</v>
      </c>
      <c r="G33" s="74">
        <f>1/(1-E33)^B33</f>
        <v>0.39605201240909804</v>
      </c>
      <c r="H33" s="194">
        <f t="shared" si="9"/>
        <v>2821.1674306221498</v>
      </c>
    </row>
    <row r="34" spans="2:12" x14ac:dyDescent="0.25">
      <c r="B34" s="8" t="s">
        <v>106</v>
      </c>
      <c r="C34" s="120">
        <v>25928.38141037845</v>
      </c>
      <c r="D34" s="114">
        <v>0.37652954845673758</v>
      </c>
      <c r="E34" s="114">
        <v>-8.7847403778100519E-2</v>
      </c>
      <c r="F34" s="87">
        <f>N31</f>
        <v>199476.31805492967</v>
      </c>
      <c r="G34" s="75">
        <f>G33</f>
        <v>0.39605201240909804</v>
      </c>
      <c r="H34" s="195">
        <f>G34*F34</f>
        <v>79002.997193612187</v>
      </c>
    </row>
    <row r="35" spans="2:12" x14ac:dyDescent="0.25">
      <c r="B35" s="5" t="s">
        <v>107</v>
      </c>
      <c r="C35" s="5"/>
      <c r="D35" s="5"/>
      <c r="E35" s="5"/>
      <c r="F35" s="117"/>
      <c r="G35" s="5"/>
      <c r="H35" s="196">
        <f>SUM(H23:H34)</f>
        <v>116427.19115976238</v>
      </c>
    </row>
    <row r="36" spans="2:12" x14ac:dyDescent="0.25">
      <c r="B36" s="8" t="s">
        <v>119</v>
      </c>
      <c r="C36" s="8"/>
      <c r="D36" s="8"/>
      <c r="E36" s="8"/>
      <c r="F36" s="77"/>
      <c r="G36" s="8"/>
      <c r="H36" s="197">
        <f>C23</f>
        <v>16677.239999999998</v>
      </c>
    </row>
    <row r="37" spans="2:12" x14ac:dyDescent="0.25">
      <c r="B37" s="5" t="s">
        <v>108</v>
      </c>
      <c r="C37" s="5"/>
      <c r="D37" s="5"/>
      <c r="E37" s="5"/>
      <c r="F37" s="76"/>
      <c r="G37" s="5"/>
      <c r="H37" s="196">
        <f>SUM(H35:H36)</f>
        <v>133104.43115976237</v>
      </c>
      <c r="L37" s="78"/>
    </row>
    <row r="38" spans="2:12" x14ac:dyDescent="0.25">
      <c r="B38" s="5"/>
      <c r="C38" s="5"/>
      <c r="D38" s="5"/>
      <c r="E38" s="5"/>
      <c r="F38" s="76"/>
      <c r="G38" s="5"/>
      <c r="H38" s="198"/>
    </row>
    <row r="39" spans="2:12" x14ac:dyDescent="0.25">
      <c r="B39" s="8" t="s">
        <v>85</v>
      </c>
      <c r="C39" s="8"/>
      <c r="D39" s="8"/>
      <c r="E39" s="8"/>
      <c r="F39" s="77"/>
      <c r="G39" s="8"/>
      <c r="H39" s="199">
        <f>(1+N23)^(1/2)</f>
        <v>1.0429992347926726</v>
      </c>
    </row>
    <row r="40" spans="2:12" x14ac:dyDescent="0.25">
      <c r="B40" s="5" t="s">
        <v>109</v>
      </c>
      <c r="C40" s="5"/>
      <c r="D40" s="5"/>
      <c r="E40" s="5"/>
      <c r="F40" s="76"/>
      <c r="G40" s="5"/>
      <c r="H40" s="200">
        <f>H39*H37</f>
        <v>138827.81984714614</v>
      </c>
      <c r="I40" s="200">
        <f>'DCF Method'!P18-H40</f>
        <v>0</v>
      </c>
      <c r="J40" s="78"/>
    </row>
    <row r="41" spans="2:12" x14ac:dyDescent="0.25">
      <c r="B41" s="5"/>
      <c r="C41" s="5"/>
      <c r="D41" s="5"/>
      <c r="E41" s="5"/>
      <c r="F41" s="76"/>
      <c r="G41" s="5"/>
      <c r="H41" s="201"/>
      <c r="J41" s="18"/>
    </row>
    <row r="42" spans="2:12" x14ac:dyDescent="0.25">
      <c r="B42" s="2" t="s">
        <v>115</v>
      </c>
      <c r="C42" s="5"/>
      <c r="D42" s="5"/>
      <c r="E42" s="5"/>
      <c r="F42" s="76"/>
      <c r="G42" s="5"/>
      <c r="H42" s="202">
        <f>'DCF Method'!P20</f>
        <v>10554.76</v>
      </c>
      <c r="J42" s="78"/>
    </row>
    <row r="43" spans="2:12" ht="13.8" thickBot="1" x14ac:dyDescent="0.3">
      <c r="B43" s="34" t="s">
        <v>87</v>
      </c>
      <c r="C43" s="9"/>
      <c r="D43" s="9"/>
      <c r="E43" s="9"/>
      <c r="F43" s="79"/>
      <c r="G43" s="9"/>
      <c r="H43" s="203">
        <f>SUM(H40:H42)</f>
        <v>149382.57984714615</v>
      </c>
      <c r="J43" s="18"/>
    </row>
    <row r="44" spans="2:12" ht="13.8" thickTop="1" x14ac:dyDescent="0.25">
      <c r="B44" s="2"/>
      <c r="H44" s="2"/>
      <c r="J44" s="18"/>
    </row>
    <row r="45" spans="2:12" x14ac:dyDescent="0.25">
      <c r="B45" s="2" t="str">
        <f>'DCF Method'!M23</f>
        <v>Value of Debt &amp; Equivalents</v>
      </c>
      <c r="C45" s="5"/>
      <c r="D45" s="5"/>
      <c r="E45" s="5"/>
      <c r="F45" s="76"/>
      <c r="G45" s="5"/>
      <c r="H45" s="202">
        <f>'DCF Method'!P23</f>
        <v>-12009</v>
      </c>
      <c r="J45" s="18"/>
    </row>
    <row r="46" spans="2:12" ht="13.8" thickBot="1" x14ac:dyDescent="0.3">
      <c r="B46" s="34" t="s">
        <v>110</v>
      </c>
      <c r="C46" s="9"/>
      <c r="D46" s="9"/>
      <c r="E46" s="9"/>
      <c r="F46" s="79"/>
      <c r="G46" s="9"/>
      <c r="H46" s="203">
        <f>SUM(H43:H45)</f>
        <v>137373.57984714615</v>
      </c>
      <c r="J46" s="18"/>
    </row>
    <row r="47" spans="2:12" ht="13.8" thickTop="1" x14ac:dyDescent="0.25">
      <c r="B47" s="2"/>
      <c r="H47" s="2"/>
      <c r="J47" s="18"/>
    </row>
    <row r="48" spans="2:12" x14ac:dyDescent="0.25">
      <c r="B48" s="2" t="s">
        <v>89</v>
      </c>
      <c r="H48" s="204">
        <f>'DCF Method'!P26</f>
        <v>1504.4000725264168</v>
      </c>
      <c r="J48" s="18"/>
      <c r="K48" s="80"/>
    </row>
    <row r="49" spans="2:11" ht="13.8" thickBot="1" x14ac:dyDescent="0.3">
      <c r="B49" s="34" t="s">
        <v>90</v>
      </c>
      <c r="C49" s="205"/>
      <c r="D49" s="205"/>
      <c r="E49" s="205"/>
      <c r="F49" s="205"/>
      <c r="G49" s="205"/>
      <c r="H49" s="206">
        <f>H46/H48</f>
        <v>91.314526206082661</v>
      </c>
      <c r="I49" s="18">
        <f>'DCF Method'!P27-'EC Profit Method'!H49</f>
        <v>0</v>
      </c>
      <c r="K49" s="70"/>
    </row>
    <row r="50" spans="2:11" ht="13.8" thickTop="1" x14ac:dyDescent="0.25">
      <c r="K50" s="70"/>
    </row>
  </sheetData>
  <sheetProtection sheet="1" objects="1" scenarios="1"/>
  <conditionalFormatting sqref="C26:H33 B40:K49">
    <cfRule type="expression" dxfId="18" priority="1">
      <formula>_xlfn.ISFORMULA(B26)</formula>
    </cfRule>
  </conditionalFormatting>
  <conditionalFormatting sqref="E2:N2 B2:D20 F3:J3 L3:N3 E4:N8 F9:J10 L9:N10 E11:N15 F16:J16 L16:N16 E17:N20 B21:K21 B22:I24 M22:N31 C25:I25 B25:B33 B34:I39 B50:G50 I50:K50">
    <cfRule type="expression" dxfId="17" priority="2">
      <formula>_xlfn.ISFORMULA(B2)</formula>
    </cfRule>
  </conditionalFormatting>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AC6EE-DA96-4C87-818E-FA0F07997940}">
  <sheetPr>
    <tabColor theme="6" tint="-0.249977111117893"/>
  </sheetPr>
  <dimension ref="B1:F16"/>
  <sheetViews>
    <sheetView showGridLines="0" workbookViewId="0">
      <selection activeCell="C13" sqref="C13"/>
    </sheetView>
  </sheetViews>
  <sheetFormatPr defaultRowHeight="14.4" x14ac:dyDescent="0.3"/>
  <cols>
    <col min="1" max="1" width="8.88671875" style="150"/>
    <col min="2" max="2" width="26.88671875" style="150" customWidth="1"/>
    <col min="3" max="1999" width="8.88671875" style="150"/>
    <col min="2000" max="2000" width="2.5546875" style="150" customWidth="1"/>
    <col min="2001" max="16384" width="8.88671875" style="150"/>
  </cols>
  <sheetData>
    <row r="1" spans="2:6" ht="15" thickBot="1" x14ac:dyDescent="0.35"/>
    <row r="2" spans="2:6" x14ac:dyDescent="0.3">
      <c r="B2" s="179" t="s">
        <v>55</v>
      </c>
      <c r="C2" s="340" t="s">
        <v>138</v>
      </c>
      <c r="D2" s="341"/>
      <c r="E2" s="340" t="s">
        <v>139</v>
      </c>
      <c r="F2" s="342"/>
    </row>
    <row r="3" spans="2:6" x14ac:dyDescent="0.3">
      <c r="B3" s="180" t="s">
        <v>151</v>
      </c>
      <c r="C3" s="181" t="s">
        <v>149</v>
      </c>
      <c r="D3" s="182" t="s">
        <v>150</v>
      </c>
      <c r="E3" s="181" t="s">
        <v>149</v>
      </c>
      <c r="F3" s="183" t="s">
        <v>150</v>
      </c>
    </row>
    <row r="4" spans="2:6" x14ac:dyDescent="0.3">
      <c r="B4" s="151" t="s">
        <v>140</v>
      </c>
      <c r="C4" s="152">
        <f>WACC!D16</f>
        <v>9.3168732000000004E-2</v>
      </c>
      <c r="D4" s="153">
        <f>C4</f>
        <v>9.3168732000000004E-2</v>
      </c>
      <c r="E4" s="154">
        <f>D4</f>
        <v>9.3168732000000004E-2</v>
      </c>
      <c r="F4" s="155">
        <f>C4</f>
        <v>9.3168732000000004E-2</v>
      </c>
    </row>
    <row r="5" spans="2:6" x14ac:dyDescent="0.3">
      <c r="B5" s="151" t="s">
        <v>73</v>
      </c>
      <c r="C5" s="152">
        <f>WACC!D20</f>
        <v>4.6699999999999998E-2</v>
      </c>
      <c r="D5" s="153">
        <f>C5</f>
        <v>4.6699999999999998E-2</v>
      </c>
      <c r="E5" s="154">
        <f>D5</f>
        <v>4.6699999999999998E-2</v>
      </c>
      <c r="F5" s="155">
        <f t="shared" ref="F5:F9" si="0">C5</f>
        <v>4.6699999999999998E-2</v>
      </c>
    </row>
    <row r="6" spans="2:6" x14ac:dyDescent="0.3">
      <c r="B6" s="151" t="s">
        <v>141</v>
      </c>
      <c r="C6" s="156">
        <f>C13</f>
        <v>8.9104190522478949E-2</v>
      </c>
      <c r="D6" s="153">
        <f>D5</f>
        <v>4.6699999999999998E-2</v>
      </c>
      <c r="E6" s="156">
        <f>E13</f>
        <v>8.9104190522478949E-2</v>
      </c>
      <c r="F6" s="155">
        <f>F5</f>
        <v>4.6699999999999998E-2</v>
      </c>
    </row>
    <row r="7" spans="2:6" x14ac:dyDescent="0.3">
      <c r="B7" s="151" t="s">
        <v>77</v>
      </c>
      <c r="C7" s="152">
        <f>WACC!E20</f>
        <v>0.1320933237257694</v>
      </c>
      <c r="D7" s="153">
        <f t="shared" ref="D7:E9" si="1">C7</f>
        <v>0.1320933237257694</v>
      </c>
      <c r="E7" s="154">
        <f t="shared" si="1"/>
        <v>0.1320933237257694</v>
      </c>
      <c r="F7" s="155">
        <f t="shared" si="0"/>
        <v>0.1320933237257694</v>
      </c>
    </row>
    <row r="8" spans="2:6" x14ac:dyDescent="0.3">
      <c r="B8" s="151" t="s">
        <v>142</v>
      </c>
      <c r="C8" s="178">
        <f>WACC!C15</f>
        <v>8.7468310465649041E-2</v>
      </c>
      <c r="D8" s="157">
        <f t="shared" si="1"/>
        <v>8.7468310465649041E-2</v>
      </c>
      <c r="E8" s="158">
        <f t="shared" si="1"/>
        <v>8.7468310465649041E-2</v>
      </c>
      <c r="F8" s="159">
        <f t="shared" si="0"/>
        <v>8.7468310465649041E-2</v>
      </c>
    </row>
    <row r="9" spans="2:6" x14ac:dyDescent="0.3">
      <c r="B9" s="151" t="s">
        <v>143</v>
      </c>
      <c r="C9" s="178">
        <f>1-C8</f>
        <v>0.91253168953435093</v>
      </c>
      <c r="D9" s="157">
        <f t="shared" si="1"/>
        <v>0.91253168953435093</v>
      </c>
      <c r="E9" s="158">
        <f t="shared" si="1"/>
        <v>0.91253168953435093</v>
      </c>
      <c r="F9" s="159">
        <f t="shared" si="0"/>
        <v>0.91253168953435093</v>
      </c>
    </row>
    <row r="10" spans="2:6" x14ac:dyDescent="0.3">
      <c r="B10" s="160" t="s">
        <v>144</v>
      </c>
      <c r="C10" s="161" t="s">
        <v>145</v>
      </c>
      <c r="D10" s="162">
        <f>(D8*D5*D7)/(D6-D12)</f>
        <v>3.230963227538762E-2</v>
      </c>
      <c r="E10" s="163" t="s">
        <v>145</v>
      </c>
      <c r="F10" s="164">
        <f>(F8*F5*F7)/(F6-F12)</f>
        <v>1.1553979850085081E-2</v>
      </c>
    </row>
    <row r="11" spans="2:6" x14ac:dyDescent="0.3">
      <c r="B11" s="165" t="s">
        <v>146</v>
      </c>
      <c r="C11" s="166">
        <f>C8/(C8+C9)</f>
        <v>8.7468310465649041E-2</v>
      </c>
      <c r="D11" s="167" t="s">
        <v>145</v>
      </c>
      <c r="E11" s="166">
        <f>E8/(E8+E9)</f>
        <v>8.7468310465649041E-2</v>
      </c>
      <c r="F11" s="168"/>
    </row>
    <row r="12" spans="2:6" x14ac:dyDescent="0.3">
      <c r="B12" s="169" t="s">
        <v>147</v>
      </c>
      <c r="C12" s="170" t="s">
        <v>145</v>
      </c>
      <c r="D12" s="171">
        <v>0.03</v>
      </c>
      <c r="E12" s="172" t="s">
        <v>145</v>
      </c>
      <c r="F12" s="173">
        <v>0</v>
      </c>
    </row>
    <row r="13" spans="2:6" ht="15" thickBot="1" x14ac:dyDescent="0.35">
      <c r="B13" s="174" t="s">
        <v>148</v>
      </c>
      <c r="C13" s="175">
        <f>C5*C11+(1-C11)*C4</f>
        <v>8.9104190522478949E-2</v>
      </c>
      <c r="D13" s="176">
        <f>(D8-D10)*D5/(D8-D10+D9)+D9/(D8-D10+D9)*D4</f>
        <v>9.0519998562336057E-2</v>
      </c>
      <c r="E13" s="175">
        <f>E5*E11+(1-E11)*E4</f>
        <v>8.9104190522478949E-2</v>
      </c>
      <c r="F13" s="177">
        <f>F8*(1-F7)*F5/(F8*(1-F7)+F9)+F9*F4/(F8*(1-F7)+F9)</f>
        <v>8.9599854577842947E-2</v>
      </c>
    </row>
    <row r="16" spans="2:6" x14ac:dyDescent="0.3">
      <c r="D16" s="157"/>
    </row>
  </sheetData>
  <sheetProtection sheet="1" objects="1" scenarios="1"/>
  <mergeCells count="2">
    <mergeCell ref="C2:D2"/>
    <mergeCell ref="E2:F2"/>
  </mergeCells>
  <conditionalFormatting sqref="B2:F13">
    <cfRule type="expression" dxfId="16" priority="1">
      <formula>_xlfn.ISFORMULA(B2)</formula>
    </cfRule>
  </conditionalFormatting>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9AF6E-01E5-44BC-8F34-290941B30E63}">
  <sheetPr>
    <tabColor theme="5" tint="-0.249977111117893"/>
  </sheetPr>
  <dimension ref="B2:K45"/>
  <sheetViews>
    <sheetView showGridLines="0" topLeftCell="A23" workbookViewId="0">
      <selection activeCell="J35" sqref="J35"/>
    </sheetView>
  </sheetViews>
  <sheetFormatPr defaultColWidth="9.33203125" defaultRowHeight="13.2" x14ac:dyDescent="0.25"/>
  <cols>
    <col min="1" max="1" width="9.33203125" style="13"/>
    <col min="2" max="2" width="22.44140625" style="13" bestFit="1" customWidth="1"/>
    <col min="3" max="7" width="16.5546875" style="13" customWidth="1"/>
    <col min="8" max="8" width="9.33203125" style="13"/>
    <col min="9" max="9" width="27.21875" style="13" bestFit="1" customWidth="1"/>
    <col min="10" max="10" width="9" style="13" bestFit="1" customWidth="1"/>
    <col min="11" max="1998" width="9.33203125" style="13"/>
    <col min="1999" max="2000" width="2.33203125" style="13" customWidth="1"/>
    <col min="2001" max="16384" width="9.33203125" style="13"/>
  </cols>
  <sheetData>
    <row r="2" spans="2:11" ht="27" thickBot="1" x14ac:dyDescent="0.3">
      <c r="B2" s="140" t="s">
        <v>99</v>
      </c>
      <c r="C2" s="141" t="s">
        <v>127</v>
      </c>
      <c r="D2" s="141" t="s">
        <v>128</v>
      </c>
      <c r="E2" s="141" t="s">
        <v>129</v>
      </c>
      <c r="F2" s="141" t="s">
        <v>130</v>
      </c>
      <c r="G2" s="141" t="s">
        <v>29</v>
      </c>
      <c r="I2" s="143" t="s">
        <v>55</v>
      </c>
      <c r="J2" s="143"/>
    </row>
    <row r="3" spans="2:11" ht="13.8" thickTop="1" x14ac:dyDescent="0.25">
      <c r="B3" s="6">
        <f>'DCF Method'!B4</f>
        <v>2025</v>
      </c>
      <c r="C3" s="139" cm="1">
        <f t="array" ref="C3:C14">TRANSPOSE(Investment!C21:N21)</f>
        <v>12009</v>
      </c>
      <c r="D3" s="309">
        <f>'DCF Method'!C21</f>
        <v>4.9999999999999822E-2</v>
      </c>
      <c r="E3" s="139">
        <f>D3*C3</f>
        <v>600.44999999999789</v>
      </c>
      <c r="F3" s="309">
        <f>WACC!E20</f>
        <v>0.1320933237257694</v>
      </c>
      <c r="G3" s="139">
        <f>F3*E3</f>
        <v>79.315436231137951</v>
      </c>
      <c r="I3" s="2" t="s">
        <v>56</v>
      </c>
      <c r="J3" s="81">
        <f>'DCF Method'!C20</f>
        <v>9762.801744663866</v>
      </c>
    </row>
    <row r="4" spans="2:11" x14ac:dyDescent="0.25">
      <c r="B4" s="6">
        <f>'DCF Method'!B5</f>
        <v>2026</v>
      </c>
      <c r="C4" s="139">
        <v>12786.530610294521</v>
      </c>
      <c r="D4" s="309">
        <f>D3</f>
        <v>4.9999999999999822E-2</v>
      </c>
      <c r="E4" s="139">
        <f t="shared" ref="E4:E14" si="0">D4*C4</f>
        <v>639.3265305147238</v>
      </c>
      <c r="F4" s="309">
        <f>F3</f>
        <v>0.1320933237257694</v>
      </c>
      <c r="G4" s="139">
        <f t="shared" ref="G4:G14" si="1">F4*E4</f>
        <v>84.450766361754404</v>
      </c>
      <c r="I4" s="2" t="s">
        <v>57</v>
      </c>
      <c r="J4" s="190">
        <f>'DCF Method'!C21</f>
        <v>4.9999999999999822E-2</v>
      </c>
    </row>
    <row r="5" spans="2:11" x14ac:dyDescent="0.25">
      <c r="B5" s="6">
        <f>'DCF Method'!B6</f>
        <v>2027</v>
      </c>
      <c r="C5" s="139">
        <v>13726.070790004425</v>
      </c>
      <c r="D5" s="309">
        <f t="shared" ref="D5:D14" si="2">D4</f>
        <v>4.9999999999999822E-2</v>
      </c>
      <c r="E5" s="139">
        <f t="shared" si="0"/>
        <v>686.30353950021879</v>
      </c>
      <c r="F5" s="309">
        <f t="shared" ref="F5:F14" si="3">F4</f>
        <v>0.1320933237257694</v>
      </c>
      <c r="G5" s="139">
        <f t="shared" si="1"/>
        <v>90.656115617343772</v>
      </c>
      <c r="I5" s="2" t="s">
        <v>54</v>
      </c>
      <c r="J5" s="190">
        <f>'DCF Method'!C22</f>
        <v>0.39627579968181464</v>
      </c>
    </row>
    <row r="6" spans="2:11" x14ac:dyDescent="0.25">
      <c r="B6" s="6">
        <f>'DCF Method'!B7</f>
        <v>2028</v>
      </c>
      <c r="C6" s="139">
        <v>14780.95034007922</v>
      </c>
      <c r="D6" s="309">
        <f t="shared" si="2"/>
        <v>4.9999999999999822E-2</v>
      </c>
      <c r="E6" s="139">
        <f t="shared" si="0"/>
        <v>739.04751700395843</v>
      </c>
      <c r="F6" s="309">
        <f t="shared" si="3"/>
        <v>0.1320933237257694</v>
      </c>
      <c r="G6" s="139">
        <f t="shared" si="1"/>
        <v>97.623242912329943</v>
      </c>
      <c r="I6" s="33" t="s">
        <v>137</v>
      </c>
      <c r="J6" s="330">
        <f>'Unlevered CoE'!C13</f>
        <v>8.9104190522478949E-2</v>
      </c>
      <c r="K6" s="329"/>
    </row>
    <row r="7" spans="2:11" x14ac:dyDescent="0.25">
      <c r="B7" s="6">
        <f>'DCF Method'!B8</f>
        <v>2029</v>
      </c>
      <c r="C7" s="139">
        <v>15958.219324007745</v>
      </c>
      <c r="D7" s="309">
        <f t="shared" si="2"/>
        <v>4.9999999999999822E-2</v>
      </c>
      <c r="E7" s="139">
        <f t="shared" si="0"/>
        <v>797.91096620038445</v>
      </c>
      <c r="F7" s="309">
        <f t="shared" si="3"/>
        <v>0.1320933237257694</v>
      </c>
      <c r="G7" s="139">
        <f t="shared" si="1"/>
        <v>105.39871156264883</v>
      </c>
      <c r="I7" s="2"/>
      <c r="J7" s="2"/>
    </row>
    <row r="8" spans="2:11" ht="13.8" thickBot="1" x14ac:dyDescent="0.3">
      <c r="B8" s="6">
        <f>'DCF Method'!B9</f>
        <v>2030</v>
      </c>
      <c r="C8" s="139">
        <v>17260.29930128956</v>
      </c>
      <c r="D8" s="309">
        <f t="shared" si="2"/>
        <v>4.9999999999999822E-2</v>
      </c>
      <c r="E8" s="139">
        <f t="shared" si="0"/>
        <v>863.01496506447495</v>
      </c>
      <c r="F8" s="309">
        <f t="shared" si="3"/>
        <v>0.1320933237257694</v>
      </c>
      <c r="G8" s="139">
        <f t="shared" si="1"/>
        <v>113.99851516044527</v>
      </c>
      <c r="I8" s="34" t="s">
        <v>136</v>
      </c>
      <c r="J8" s="125">
        <f>J3*(1-(J4/J5))/(J6-J4)</f>
        <v>218160.31888553992</v>
      </c>
    </row>
    <row r="9" spans="2:11" ht="13.8" thickTop="1" x14ac:dyDescent="0.25">
      <c r="B9" s="6">
        <f>'DCF Method'!B10</f>
        <v>2031</v>
      </c>
      <c r="C9" s="139">
        <v>18688.870412040342</v>
      </c>
      <c r="D9" s="309">
        <f t="shared" si="2"/>
        <v>4.9999999999999822E-2</v>
      </c>
      <c r="E9" s="139">
        <f t="shared" si="0"/>
        <v>934.44352060201379</v>
      </c>
      <c r="F9" s="309">
        <f t="shared" si="3"/>
        <v>0.1320933237257694</v>
      </c>
      <c r="G9" s="139">
        <f t="shared" si="1"/>
        <v>123.43375047032947</v>
      </c>
      <c r="J9" s="72"/>
    </row>
    <row r="10" spans="2:11" x14ac:dyDescent="0.25">
      <c r="B10" s="6">
        <f>'DCF Method'!B11</f>
        <v>2032</v>
      </c>
      <c r="C10" s="139">
        <v>20248.315607070457</v>
      </c>
      <c r="D10" s="309">
        <f t="shared" si="2"/>
        <v>4.9999999999999822E-2</v>
      </c>
      <c r="E10" s="139">
        <f t="shared" si="0"/>
        <v>1012.4157803535193</v>
      </c>
      <c r="F10" s="309">
        <f t="shared" si="3"/>
        <v>0.1320933237257694</v>
      </c>
      <c r="G10" s="139">
        <f t="shared" si="1"/>
        <v>133.73336541931488</v>
      </c>
    </row>
    <row r="11" spans="2:11" x14ac:dyDescent="0.25">
      <c r="B11" s="6">
        <f>'DCF Method'!B12</f>
        <v>2033</v>
      </c>
      <c r="C11" s="139">
        <v>21947.159982457866</v>
      </c>
      <c r="D11" s="309">
        <f t="shared" si="2"/>
        <v>4.9999999999999822E-2</v>
      </c>
      <c r="E11" s="139">
        <f t="shared" si="0"/>
        <v>1097.3579991228894</v>
      </c>
      <c r="F11" s="309">
        <f t="shared" si="3"/>
        <v>0.1320933237257694</v>
      </c>
      <c r="G11" s="139">
        <f t="shared" si="1"/>
        <v>144.9536654212024</v>
      </c>
    </row>
    <row r="12" spans="2:11" x14ac:dyDescent="0.25">
      <c r="B12" s="6">
        <f>'DCF Method'!B13</f>
        <v>2034</v>
      </c>
      <c r="C12" s="139">
        <v>23796.696291229677</v>
      </c>
      <c r="D12" s="309">
        <f t="shared" si="2"/>
        <v>4.9999999999999822E-2</v>
      </c>
      <c r="E12" s="139">
        <f t="shared" si="0"/>
        <v>1189.8348145614796</v>
      </c>
      <c r="F12" s="309">
        <f t="shared" si="3"/>
        <v>0.1320933237257694</v>
      </c>
      <c r="G12" s="139">
        <f t="shared" si="1"/>
        <v>157.16923534006031</v>
      </c>
    </row>
    <row r="13" spans="2:11" x14ac:dyDescent="0.25">
      <c r="B13" s="6">
        <f>'DCF Method'!B14</f>
        <v>2035</v>
      </c>
      <c r="C13" s="139">
        <v>25810.756980994352</v>
      </c>
      <c r="D13" s="309">
        <f t="shared" si="2"/>
        <v>4.9999999999999822E-2</v>
      </c>
      <c r="E13" s="139">
        <f t="shared" si="0"/>
        <v>1290.537849049713</v>
      </c>
      <c r="F13" s="309">
        <f t="shared" si="3"/>
        <v>0.1320933237257694</v>
      </c>
      <c r="G13" s="139">
        <f t="shared" si="1"/>
        <v>170.47143387488188</v>
      </c>
    </row>
    <row r="14" spans="2:11" x14ac:dyDescent="0.25">
      <c r="B14" s="28" t="s">
        <v>131</v>
      </c>
      <c r="C14" s="148">
        <v>28004.469362784264</v>
      </c>
      <c r="D14" s="310">
        <f t="shared" si="2"/>
        <v>4.9999999999999822E-2</v>
      </c>
      <c r="E14" s="148">
        <f t="shared" si="0"/>
        <v>1400.2234681392083</v>
      </c>
      <c r="F14" s="310">
        <f t="shared" si="3"/>
        <v>0.1320933237257694</v>
      </c>
      <c r="G14" s="148">
        <f t="shared" si="1"/>
        <v>184.960171865332</v>
      </c>
    </row>
    <row r="17" spans="2:9" ht="13.8" thickBot="1" x14ac:dyDescent="0.3">
      <c r="B17" s="140" t="s">
        <v>99</v>
      </c>
      <c r="C17" s="142" t="s">
        <v>81</v>
      </c>
      <c r="D17" s="142" t="s">
        <v>132</v>
      </c>
      <c r="E17" s="142" t="s">
        <v>104</v>
      </c>
      <c r="F17" s="142" t="s">
        <v>133</v>
      </c>
      <c r="G17" s="142" t="s">
        <v>134</v>
      </c>
    </row>
    <row r="18" spans="2:9" ht="13.8" thickTop="1" x14ac:dyDescent="0.25">
      <c r="B18" s="144">
        <v>1</v>
      </c>
      <c r="C18" s="85">
        <f>'DCF Method'!N3</f>
        <v>5574.3586701217992</v>
      </c>
      <c r="D18" s="85">
        <f>G3</f>
        <v>79.315436231137951</v>
      </c>
      <c r="E18" s="138">
        <f>1/(1+$J$6)^B18</f>
        <v>0.91818579774288378</v>
      </c>
      <c r="F18" s="331">
        <f>E18*C18</f>
        <v>5118.2969624307452</v>
      </c>
      <c r="G18" s="331">
        <f>E18*D18</f>
        <v>72.826307089212222</v>
      </c>
    </row>
    <row r="19" spans="2:9" x14ac:dyDescent="0.25">
      <c r="B19" s="144">
        <f>B18+1</f>
        <v>2</v>
      </c>
      <c r="C19" s="85">
        <f>'DCF Method'!N4</f>
        <v>5708.1138443973832</v>
      </c>
      <c r="D19" s="85">
        <f t="shared" ref="D19:D28" si="4">G4</f>
        <v>84.450766361754404</v>
      </c>
      <c r="E19" s="138">
        <f>1/(1+$J$6)^B19</f>
        <v>0.84306515917673586</v>
      </c>
      <c r="F19" s="331">
        <f t="shared" ref="F19:F20" si="5">E19*C19</f>
        <v>4812.3119068258093</v>
      </c>
      <c r="G19" s="331">
        <f t="shared" ref="G19:G29" si="6">E19*D19</f>
        <v>71.197498785369802</v>
      </c>
    </row>
    <row r="20" spans="2:9" x14ac:dyDescent="0.25">
      <c r="B20" s="144">
        <f t="shared" ref="B20:B28" si="7">B19+1</f>
        <v>3</v>
      </c>
      <c r="C20" s="85">
        <f>'DCF Method'!N5</f>
        <v>5783.89335792764</v>
      </c>
      <c r="D20" s="85">
        <f t="shared" si="4"/>
        <v>90.656115617343772</v>
      </c>
      <c r="E20" s="138">
        <f>1/(1+$J$6)^B20</f>
        <v>0.77409045572792246</v>
      </c>
      <c r="F20" s="331">
        <f t="shared" si="5"/>
        <v>4477.2566453199106</v>
      </c>
      <c r="G20" s="331">
        <f t="shared" si="6"/>
        <v>70.176033852752866</v>
      </c>
    </row>
    <row r="21" spans="2:9" x14ac:dyDescent="0.25">
      <c r="B21" s="144">
        <f t="shared" si="7"/>
        <v>4</v>
      </c>
      <c r="C21" s="85">
        <f>'DCF Method'!N6</f>
        <v>5919.7717998063254</v>
      </c>
      <c r="D21" s="85">
        <f t="shared" si="4"/>
        <v>97.623242912329943</v>
      </c>
      <c r="E21" s="138">
        <f t="shared" ref="E21:E28" si="8">1/(1+$J$6)^B21</f>
        <v>0.71075886261769494</v>
      </c>
      <c r="F21" s="331">
        <f t="shared" ref="F21:F28" si="9">E21*C21</f>
        <v>4207.5302713866486</v>
      </c>
      <c r="G21" s="331">
        <f t="shared" ref="G21:G28" si="10">E21*D21</f>
        <v>69.386585097418575</v>
      </c>
    </row>
    <row r="22" spans="2:9" x14ac:dyDescent="0.25">
      <c r="B22" s="144">
        <f t="shared" si="7"/>
        <v>5</v>
      </c>
      <c r="C22" s="85">
        <f>'DCF Method'!N7</f>
        <v>6123.0430885242013</v>
      </c>
      <c r="D22" s="85">
        <f t="shared" si="4"/>
        <v>105.39871156264883</v>
      </c>
      <c r="E22" s="138">
        <f t="shared" si="8"/>
        <v>0.6526086932754529</v>
      </c>
      <c r="F22" s="331">
        <f t="shared" si="9"/>
        <v>3995.9511488710723</v>
      </c>
      <c r="G22" s="331">
        <f t="shared" si="10"/>
        <v>68.784115425816623</v>
      </c>
    </row>
    <row r="23" spans="2:9" x14ac:dyDescent="0.25">
      <c r="B23" s="144">
        <f t="shared" si="7"/>
        <v>6</v>
      </c>
      <c r="C23" s="85">
        <f>'DCF Method'!N8</f>
        <v>6384.6707290591748</v>
      </c>
      <c r="D23" s="85">
        <f t="shared" si="4"/>
        <v>113.99851516044527</v>
      </c>
      <c r="E23" s="138">
        <f t="shared" si="8"/>
        <v>0.59921603364906262</v>
      </c>
      <c r="F23" s="331">
        <f t="shared" si="9"/>
        <v>3825.7970704221075</v>
      </c>
      <c r="G23" s="331">
        <f t="shared" si="10"/>
        <v>68.309738096324551</v>
      </c>
    </row>
    <row r="24" spans="2:9" x14ac:dyDescent="0.25">
      <c r="B24" s="144">
        <f t="shared" si="7"/>
        <v>7</v>
      </c>
      <c r="C24" s="85">
        <f>'DCF Method'!N9</f>
        <v>6687.8073371852297</v>
      </c>
      <c r="D24" s="85">
        <f t="shared" si="4"/>
        <v>123.43375047032947</v>
      </c>
      <c r="E24" s="138">
        <f t="shared" si="8"/>
        <v>0.5501916518763913</v>
      </c>
      <c r="F24" s="331">
        <f t="shared" si="9"/>
        <v>3679.5757662769915</v>
      </c>
      <c r="G24" s="331">
        <f t="shared" si="10"/>
        <v>67.912219068568859</v>
      </c>
    </row>
    <row r="25" spans="2:9" x14ac:dyDescent="0.25">
      <c r="B25" s="144">
        <f t="shared" si="7"/>
        <v>8</v>
      </c>
      <c r="C25" s="85">
        <f>'DCF Method'!N10</f>
        <v>7018.4605584257233</v>
      </c>
      <c r="D25" s="85">
        <f t="shared" si="4"/>
        <v>133.73336541931488</v>
      </c>
      <c r="E25" s="138">
        <f t="shared" si="8"/>
        <v>0.50517816078959932</v>
      </c>
      <c r="F25" s="331">
        <f t="shared" si="9"/>
        <v>3545.5729964798511</v>
      </c>
      <c r="G25" s="331">
        <f t="shared" si="10"/>
        <v>67.559175578732891</v>
      </c>
    </row>
    <row r="26" spans="2:9" x14ac:dyDescent="0.25">
      <c r="B26" s="144">
        <f t="shared" si="7"/>
        <v>9</v>
      </c>
      <c r="C26" s="85">
        <f>'DCF Method'!N11</f>
        <v>7369.3835863469922</v>
      </c>
      <c r="D26" s="85">
        <f t="shared" si="4"/>
        <v>144.9536654212024</v>
      </c>
      <c r="E26" s="138">
        <f t="shared" si="8"/>
        <v>0.463847412566881</v>
      </c>
      <c r="F26" s="331">
        <f t="shared" si="9"/>
        <v>3418.2695087398943</v>
      </c>
      <c r="G26" s="331">
        <f t="shared" si="10"/>
        <v>67.236382647710101</v>
      </c>
    </row>
    <row r="27" spans="2:9" x14ac:dyDescent="0.25">
      <c r="B27" s="144">
        <f t="shared" si="7"/>
        <v>10</v>
      </c>
      <c r="C27" s="85">
        <f>'DCF Method'!N12</f>
        <v>7737.8527656643428</v>
      </c>
      <c r="D27" s="85">
        <f t="shared" si="4"/>
        <v>157.16923534006031</v>
      </c>
      <c r="E27" s="138">
        <f t="shared" si="8"/>
        <v>0.4258981065386942</v>
      </c>
      <c r="F27" s="331">
        <f t="shared" si="9"/>
        <v>3295.5368415716416</v>
      </c>
      <c r="G27" s="331">
        <f t="shared" si="10"/>
        <v>66.938079737466111</v>
      </c>
    </row>
    <row r="28" spans="2:9" x14ac:dyDescent="0.25">
      <c r="B28" s="144">
        <f t="shared" si="7"/>
        <v>11</v>
      </c>
      <c r="C28" s="85">
        <f>'DCF Method'!N13</f>
        <v>8124.7454039475751</v>
      </c>
      <c r="D28" s="85">
        <f t="shared" si="4"/>
        <v>170.47143387488188</v>
      </c>
      <c r="E28" s="138">
        <f t="shared" si="8"/>
        <v>0.39105359270941464</v>
      </c>
      <c r="F28" s="331">
        <f t="shared" si="9"/>
        <v>3177.2108800630035</v>
      </c>
      <c r="G28" s="331">
        <f t="shared" si="10"/>
        <v>66.663466671097964</v>
      </c>
    </row>
    <row r="29" spans="2:9" x14ac:dyDescent="0.25">
      <c r="B29" s="8" t="s">
        <v>106</v>
      </c>
      <c r="C29" s="145">
        <f>J8</f>
        <v>218160.31888553992</v>
      </c>
      <c r="D29" s="145">
        <f>G14/(J6-J4)</f>
        <v>4729.9322500745093</v>
      </c>
      <c r="E29" s="146">
        <f>E28</f>
        <v>0.39105359270941464</v>
      </c>
      <c r="F29" s="332">
        <f>E29*C29</f>
        <v>85312.376486821944</v>
      </c>
      <c r="G29" s="332">
        <f t="shared" si="6"/>
        <v>1849.6569996637622</v>
      </c>
    </row>
    <row r="30" spans="2:9" x14ac:dyDescent="0.25">
      <c r="B30" s="5" t="s">
        <v>135</v>
      </c>
      <c r="C30" s="5"/>
      <c r="D30" s="5"/>
      <c r="E30" s="5"/>
      <c r="F30" s="333">
        <f>SUM(F18:F29)</f>
        <v>128865.68648520962</v>
      </c>
      <c r="G30" s="333">
        <f>SUM(G18:G29)</f>
        <v>2606.6466017142329</v>
      </c>
      <c r="I30" s="126"/>
    </row>
    <row r="31" spans="2:9" x14ac:dyDescent="0.25">
      <c r="B31" s="5"/>
      <c r="C31" s="5"/>
      <c r="G31" s="117"/>
    </row>
    <row r="32" spans="2:9" ht="13.8" thickBot="1" x14ac:dyDescent="0.3">
      <c r="B32" s="9" t="s">
        <v>109</v>
      </c>
      <c r="C32" s="5"/>
      <c r="G32" s="147">
        <f>G30+F30</f>
        <v>131472.33308692384</v>
      </c>
    </row>
    <row r="33" spans="2:7" ht="13.8" thickTop="1" x14ac:dyDescent="0.25">
      <c r="C33" s="5"/>
      <c r="G33" s="192"/>
    </row>
    <row r="34" spans="2:7" x14ac:dyDescent="0.25">
      <c r="B34" s="1" t="s">
        <v>85</v>
      </c>
      <c r="C34" s="5"/>
      <c r="G34" s="105">
        <f>(1+J6)^(1/2)</f>
        <v>1.043601547776966</v>
      </c>
    </row>
    <row r="35" spans="2:7" x14ac:dyDescent="0.25">
      <c r="B35" s="62" t="s">
        <v>86</v>
      </c>
      <c r="C35" s="5"/>
      <c r="G35" s="63">
        <f>G34*G32</f>
        <v>137204.73029936253</v>
      </c>
    </row>
    <row r="36" spans="2:7" x14ac:dyDescent="0.25">
      <c r="B36" s="1"/>
      <c r="C36" s="5"/>
      <c r="G36" s="1"/>
    </row>
    <row r="37" spans="2:7" x14ac:dyDescent="0.25">
      <c r="B37" s="62" t="s">
        <v>111</v>
      </c>
      <c r="C37" s="5"/>
      <c r="G37" s="123">
        <f>'DCF Method'!P20</f>
        <v>10554.76</v>
      </c>
    </row>
    <row r="38" spans="2:7" ht="13.8" thickBot="1" x14ac:dyDescent="0.3">
      <c r="B38" s="65" t="s">
        <v>87</v>
      </c>
      <c r="C38" s="5"/>
      <c r="G38" s="106">
        <f>SUM(G35:G37)</f>
        <v>147759.49029936254</v>
      </c>
    </row>
    <row r="39" spans="2:7" ht="13.8" thickTop="1" x14ac:dyDescent="0.25">
      <c r="B39" s="1"/>
      <c r="C39" s="5"/>
      <c r="G39" s="1"/>
    </row>
    <row r="40" spans="2:7" x14ac:dyDescent="0.25">
      <c r="B40" s="1" t="str">
        <f>'DCF Method'!M23</f>
        <v>Value of Debt &amp; Equivalents</v>
      </c>
      <c r="C40" s="5"/>
      <c r="G40" s="104">
        <f>'DCF Method'!P23</f>
        <v>-12009</v>
      </c>
    </row>
    <row r="41" spans="2:7" ht="13.8" thickBot="1" x14ac:dyDescent="0.3">
      <c r="B41" s="65" t="s">
        <v>88</v>
      </c>
      <c r="C41" s="5"/>
      <c r="G41" s="106">
        <f>SUM(G38:G40)</f>
        <v>135750.49029936254</v>
      </c>
    </row>
    <row r="42" spans="2:7" ht="13.8" thickTop="1" x14ac:dyDescent="0.25">
      <c r="B42" s="1"/>
      <c r="C42" s="5"/>
      <c r="G42" s="1"/>
    </row>
    <row r="43" spans="2:7" x14ac:dyDescent="0.25">
      <c r="B43" s="1" t="s">
        <v>112</v>
      </c>
      <c r="C43" s="5"/>
      <c r="G43" s="107">
        <f>'DCF Method'!P26</f>
        <v>1504.4000725264168</v>
      </c>
    </row>
    <row r="44" spans="2:7" ht="13.8" thickBot="1" x14ac:dyDescent="0.3">
      <c r="B44" s="108" t="s">
        <v>90</v>
      </c>
      <c r="C44" s="5"/>
      <c r="G44" s="304">
        <f>G41/G43</f>
        <v>90.235631318064037</v>
      </c>
    </row>
    <row r="45" spans="2:7" ht="13.8" thickTop="1" x14ac:dyDescent="0.25">
      <c r="C45" s="5"/>
      <c r="G45" s="78">
        <f>'DCF Method'!P27-G44</f>
        <v>1.078894888018624</v>
      </c>
    </row>
  </sheetData>
  <sheetProtection sheet="1" objects="1" scenarios="1"/>
  <conditionalFormatting sqref="B2:J2 G3:J5 B3:F14 G6:G14 H6:J15 B17:G30 G18:G44 B31:C31 B32:B44 C32:C45">
    <cfRule type="expression" dxfId="15" priority="5">
      <formula>_xlfn.ISFORMULA(B2)</formula>
    </cfRule>
  </conditionalFormatting>
  <conditionalFormatting sqref="I2:J8">
    <cfRule type="expression" dxfId="14" priority="4">
      <formula>_xlfn.ISFORMULA(I2)</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D97FC-C763-451A-883B-A342CD8BBD33}">
  <sheetPr>
    <tabColor theme="5" tint="-0.249977111117893"/>
  </sheetPr>
  <dimension ref="B2:O55"/>
  <sheetViews>
    <sheetView showGridLines="0" tabSelected="1" topLeftCell="B6" workbookViewId="0">
      <selection activeCell="O23" sqref="O23"/>
    </sheetView>
  </sheetViews>
  <sheetFormatPr defaultColWidth="9.33203125" defaultRowHeight="13.2" x14ac:dyDescent="0.25"/>
  <cols>
    <col min="1" max="1" width="9.33203125" style="2"/>
    <col min="2" max="2" width="59.109375" style="2" bestFit="1" customWidth="1"/>
    <col min="3" max="5" width="13.33203125" style="2" customWidth="1"/>
    <col min="6" max="6" width="9.44140625" style="2" bestFit="1" customWidth="1"/>
    <col min="7" max="7" width="11.88671875" style="2" customWidth="1"/>
    <col min="8" max="8" width="8.33203125" style="2" customWidth="1"/>
    <col min="9" max="9" width="12" style="2" bestFit="1" customWidth="1"/>
    <col min="10" max="12" width="9.44140625" style="2" bestFit="1" customWidth="1"/>
    <col min="13" max="13" width="10" style="2" bestFit="1" customWidth="1"/>
    <col min="14" max="14" width="9.6640625" style="2" bestFit="1" customWidth="1"/>
    <col min="15" max="15" width="10" style="2" bestFit="1" customWidth="1"/>
    <col min="16" max="1997" width="9.33203125" style="2"/>
    <col min="1998" max="1998" width="2.33203125" style="2" customWidth="1"/>
    <col min="1999" max="1999" width="9.33203125" style="2"/>
    <col min="2000" max="2000" width="2.33203125" style="2" customWidth="1"/>
    <col min="2001" max="16384" width="9.33203125" style="2"/>
  </cols>
  <sheetData>
    <row r="2" spans="2:15" ht="13.8" thickBot="1" x14ac:dyDescent="0.3">
      <c r="B2" s="149" t="s">
        <v>152</v>
      </c>
      <c r="C2" s="141">
        <v>2025</v>
      </c>
      <c r="D2" s="141">
        <v>2026</v>
      </c>
      <c r="E2" s="141">
        <v>2027</v>
      </c>
      <c r="F2" s="141">
        <v>2028</v>
      </c>
      <c r="G2" s="141">
        <v>2029</v>
      </c>
      <c r="H2" s="141">
        <v>2030</v>
      </c>
      <c r="I2" s="141">
        <v>2031</v>
      </c>
      <c r="J2" s="141">
        <v>2032</v>
      </c>
      <c r="K2" s="141">
        <v>2033</v>
      </c>
      <c r="L2" s="141">
        <v>2034</v>
      </c>
      <c r="M2" s="141">
        <v>2035</v>
      </c>
    </row>
    <row r="3" spans="2:15" ht="13.8" thickTop="1" x14ac:dyDescent="0.25">
      <c r="B3" s="5" t="s">
        <v>5</v>
      </c>
      <c r="C3" s="196">
        <f>'Income&amp;Equity'!D15</f>
        <v>5499.0382213792791</v>
      </c>
      <c r="D3" s="196">
        <f>'Income&amp;Equity'!E15</f>
        <v>5650.9458205432702</v>
      </c>
      <c r="E3" s="196">
        <f>'Income&amp;Equity'!F15</f>
        <v>5824.1823476766922</v>
      </c>
      <c r="F3" s="196">
        <f>'Income&amp;Equity'!G15</f>
        <v>6044.2378626654336</v>
      </c>
      <c r="G3" s="196">
        <f>'Income&amp;Equity'!H15</f>
        <v>6302.4000093537406</v>
      </c>
      <c r="H3" s="196">
        <f>'Income&amp;Equity'!I15</f>
        <v>6587.7597040912533</v>
      </c>
      <c r="I3" s="196">
        <f>'Income&amp;Equity'!J15</f>
        <v>6891.9772700149679</v>
      </c>
      <c r="J3" s="196">
        <f>'Income&amp;Equity'!K15</f>
        <v>7211.1917806889142</v>
      </c>
      <c r="K3" s="196">
        <f>'Income&amp;Equity'!L15</f>
        <v>7543.9295663719631</v>
      </c>
      <c r="L3" s="196">
        <f>'Income&amp;Equity'!M15</f>
        <v>7890.6393237589991</v>
      </c>
      <c r="M3" s="196">
        <f>'Income&amp;Equity'!N15</f>
        <v>8251.7643917161022</v>
      </c>
      <c r="O3" s="347"/>
    </row>
    <row r="4" spans="2:15" x14ac:dyDescent="0.25">
      <c r="B4" s="8" t="s">
        <v>1</v>
      </c>
      <c r="C4" s="328">
        <f>-'Income&amp;Equity'!D6</f>
        <v>754.48181824325025</v>
      </c>
      <c r="D4" s="328">
        <f>-'Income&amp;Equity'!E6</f>
        <v>772.96714589760381</v>
      </c>
      <c r="E4" s="328">
        <f>-'Income&amp;Equity'!F6</f>
        <v>799.59156981185458</v>
      </c>
      <c r="F4" s="328">
        <f>-'Income&amp;Equity'!G6</f>
        <v>832.66109769913521</v>
      </c>
      <c r="G4" s="328">
        <f>-'Income&amp;Equity'!H6</f>
        <v>871.0960029632995</v>
      </c>
      <c r="H4" s="328">
        <f>-'Income&amp;Equity'!I6</f>
        <v>913.53554531160296</v>
      </c>
      <c r="I4" s="328">
        <f>-'Income&amp;Equity'!J6</f>
        <v>958.95241305862669</v>
      </c>
      <c r="J4" s="328">
        <f>-'Income&amp;Equity'!K6</f>
        <v>1006.900033711558</v>
      </c>
      <c r="K4" s="328">
        <f>-'Income&amp;Equity'!L6</f>
        <v>1057.2450353971358</v>
      </c>
      <c r="L4" s="328">
        <f>-'Income&amp;Equity'!M6</f>
        <v>1110.1072871669926</v>
      </c>
      <c r="M4" s="328">
        <f>-'Income&amp;Equity'!N6</f>
        <v>1165.6126515253422</v>
      </c>
      <c r="O4" s="343"/>
    </row>
    <row r="5" spans="2:15" x14ac:dyDescent="0.25">
      <c r="B5" s="5" t="s">
        <v>43</v>
      </c>
      <c r="C5" s="283">
        <f>SUM(C3:C4)</f>
        <v>6253.5200396225291</v>
      </c>
      <c r="D5" s="283">
        <f t="shared" ref="D5:M5" si="0">SUM(D3:D4)</f>
        <v>6423.9129664408738</v>
      </c>
      <c r="E5" s="283">
        <f t="shared" si="0"/>
        <v>6623.7739174885464</v>
      </c>
      <c r="F5" s="283">
        <f t="shared" si="0"/>
        <v>6876.8989603645687</v>
      </c>
      <c r="G5" s="283">
        <f t="shared" si="0"/>
        <v>7173.4960123170404</v>
      </c>
      <c r="H5" s="283">
        <f t="shared" si="0"/>
        <v>7501.2952494028559</v>
      </c>
      <c r="I5" s="283">
        <f t="shared" si="0"/>
        <v>7850.9296830735948</v>
      </c>
      <c r="J5" s="283">
        <f t="shared" si="0"/>
        <v>8218.0918144004718</v>
      </c>
      <c r="K5" s="283">
        <f t="shared" si="0"/>
        <v>8601.1746017690984</v>
      </c>
      <c r="L5" s="283">
        <f t="shared" si="0"/>
        <v>9000.7466109259913</v>
      </c>
      <c r="M5" s="283">
        <f t="shared" si="0"/>
        <v>9417.377043241444</v>
      </c>
    </row>
    <row r="6" spans="2:15" x14ac:dyDescent="0.25">
      <c r="B6" s="5"/>
      <c r="C6" s="196"/>
      <c r="D6" s="196"/>
      <c r="E6" s="196"/>
      <c r="F6" s="196"/>
      <c r="G6" s="196"/>
      <c r="H6" s="196"/>
      <c r="I6" s="196"/>
      <c r="J6" s="196"/>
      <c r="K6" s="196"/>
      <c r="L6" s="196"/>
      <c r="M6" s="196"/>
    </row>
    <row r="7" spans="2:15" x14ac:dyDescent="0.25">
      <c r="B7" s="5" t="s">
        <v>153</v>
      </c>
      <c r="C7" s="277">
        <f>FCF!D7</f>
        <v>-694.37598628730666</v>
      </c>
      <c r="D7" s="277">
        <f>FCF!E7</f>
        <v>-172.49642630099061</v>
      </c>
      <c r="E7" s="277">
        <f>FCF!F7</f>
        <v>-228.7494275447043</v>
      </c>
      <c r="F7" s="277">
        <f>FCF!G7</f>
        <v>-284.12391561044933</v>
      </c>
      <c r="G7" s="277">
        <f>FCF!H7</f>
        <v>-330.22170189405369</v>
      </c>
      <c r="H7" s="277">
        <f>FCF!I7</f>
        <v>-364.62839717021961</v>
      </c>
      <c r="I7" s="277">
        <f>FCF!J7</f>
        <v>-390.20872457055066</v>
      </c>
      <c r="J7" s="277">
        <f>FCF!K7</f>
        <v>-411.95222896890118</v>
      </c>
      <c r="K7" s="277">
        <f>FCF!L7</f>
        <v>-432.5498404173668</v>
      </c>
      <c r="L7" s="277">
        <f>FCF!M7</f>
        <v>-454.17733243823386</v>
      </c>
      <c r="M7" s="277">
        <f>FCF!N7</f>
        <v>-476.88619906012718</v>
      </c>
    </row>
    <row r="8" spans="2:15" x14ac:dyDescent="0.25">
      <c r="B8" s="5" t="s">
        <v>154</v>
      </c>
      <c r="C8" s="277">
        <f>FCF!D8</f>
        <v>-876.98528490991634</v>
      </c>
      <c r="D8" s="277">
        <f>FCF!E8</f>
        <v>-949.40893197167793</v>
      </c>
      <c r="E8" s="277">
        <f>FCF!F8</f>
        <v>-1018.7454784128616</v>
      </c>
      <c r="F8" s="277">
        <f>FCF!G8</f>
        <v>-1087.3717105649084</v>
      </c>
      <c r="G8" s="277">
        <f>FCF!H8</f>
        <v>-1152.3456058173522</v>
      </c>
      <c r="H8" s="277">
        <f>FCF!I8</f>
        <v>-1214.5160769085946</v>
      </c>
      <c r="I8" s="277">
        <f>FCF!J8</f>
        <v>-1276.7044084915549</v>
      </c>
      <c r="J8" s="277">
        <f>FCF!K8</f>
        <v>-1340.5396289161322</v>
      </c>
      <c r="K8" s="277">
        <f>FCF!L8</f>
        <v>-1407.5666103619392</v>
      </c>
      <c r="L8" s="277">
        <f>FCF!M8</f>
        <v>-1477.9449408800369</v>
      </c>
      <c r="M8" s="277">
        <f>FCF!N8</f>
        <v>-1551.8421879240391</v>
      </c>
    </row>
    <row r="9" spans="2:15" x14ac:dyDescent="0.25">
      <c r="B9" s="5" t="str">
        <f>FCF!B9</f>
        <v>Change in Operating Lease assets</v>
      </c>
      <c r="C9" s="277">
        <f>FCF!D9</f>
        <v>-690.73148928261435</v>
      </c>
      <c r="D9" s="277">
        <f>FCF!E9</f>
        <v>-90.899506380869752</v>
      </c>
      <c r="E9" s="277">
        <f>FCF!F9</f>
        <v>-120.54284540618664</v>
      </c>
      <c r="F9" s="277">
        <f>FCF!G9</f>
        <v>-149.72323910596833</v>
      </c>
      <c r="G9" s="277">
        <f>FCF!H9</f>
        <v>-174.01513957189263</v>
      </c>
      <c r="H9" s="277">
        <f>FCF!I9</f>
        <v>-192.14624920626466</v>
      </c>
      <c r="I9" s="277">
        <f>FCF!J9</f>
        <v>-205.62617562336618</v>
      </c>
      <c r="J9" s="277">
        <f>FCF!K9</f>
        <v>-217.08423222885813</v>
      </c>
      <c r="K9" s="277">
        <f>FCF!L9</f>
        <v>-227.93844384030126</v>
      </c>
      <c r="L9" s="277">
        <f>FCF!M9</f>
        <v>-239.33536603231551</v>
      </c>
      <c r="M9" s="277">
        <f>FCF!N9</f>
        <v>-251.30213433393328</v>
      </c>
    </row>
    <row r="10" spans="2:15" x14ac:dyDescent="0.25">
      <c r="B10" s="5" t="str">
        <f>FCF!B10</f>
        <v>Change in other long assets net liabilities</v>
      </c>
      <c r="C10" s="277">
        <f>FCF!D10</f>
        <v>1096.1917084189904</v>
      </c>
      <c r="D10" s="277">
        <f>FCF!E10</f>
        <v>-21.248221108826783</v>
      </c>
      <c r="E10" s="277">
        <f>FCF!F10</f>
        <v>-28.177502103761526</v>
      </c>
      <c r="F10" s="277">
        <f>FCF!G10</f>
        <v>-34.998567278501014</v>
      </c>
      <c r="G10" s="277">
        <f>FCF!H10</f>
        <v>-40.676922341187492</v>
      </c>
      <c r="H10" s="277">
        <f>FCF!I10</f>
        <v>-44.915161268968859</v>
      </c>
      <c r="I10" s="277">
        <f>FCF!J10</f>
        <v>-48.06616250588695</v>
      </c>
      <c r="J10" s="277">
        <f>FCF!K10</f>
        <v>-50.744541409407248</v>
      </c>
      <c r="K10" s="277">
        <f>FCF!L10</f>
        <v>-53.281768479877428</v>
      </c>
      <c r="L10" s="277">
        <f>FCF!M10</f>
        <v>-55.945856903871572</v>
      </c>
      <c r="M10" s="277">
        <f>FCF!N10</f>
        <v>-58.743149749064287</v>
      </c>
    </row>
    <row r="12" spans="2:15" x14ac:dyDescent="0.25">
      <c r="B12" s="5" t="s">
        <v>155</v>
      </c>
      <c r="C12" s="196">
        <f>-FCF!D17</f>
        <v>-614.36273471566676</v>
      </c>
      <c r="D12" s="196">
        <f>-FCF!E17</f>
        <v>10.443660407582229</v>
      </c>
      <c r="E12" s="196">
        <f>-FCF!F17</f>
        <v>13.849454107165968</v>
      </c>
      <c r="F12" s="196">
        <f>-FCF!G17</f>
        <v>17.202058917616398</v>
      </c>
      <c r="G12" s="196">
        <f>-FCF!H17</f>
        <v>19.993013117718533</v>
      </c>
      <c r="H12" s="196">
        <f>-FCF!I17</f>
        <v>22.07613941150305</v>
      </c>
      <c r="I12" s="196">
        <f>-FCF!J17</f>
        <v>23.624880206965088</v>
      </c>
      <c r="J12" s="196">
        <f>-FCF!K17</f>
        <v>24.941323572644194</v>
      </c>
      <c r="K12" s="196">
        <f>-FCF!L17</f>
        <v>26.188389751276418</v>
      </c>
      <c r="L12" s="196">
        <f>-FCF!M17</f>
        <v>27.497809238840205</v>
      </c>
      <c r="M12" s="196">
        <f>-FCF!N17</f>
        <v>28.872699700782391</v>
      </c>
    </row>
    <row r="13" spans="2:15" x14ac:dyDescent="0.25">
      <c r="B13" s="5" t="str">
        <f>FCF!B18</f>
        <v>Change in operating lease liabilities</v>
      </c>
      <c r="C13" s="196">
        <f>-FCF!D18</f>
        <v>634.9027441495964</v>
      </c>
      <c r="D13" s="196">
        <f>-FCF!E18</f>
        <v>99.597406510655219</v>
      </c>
      <c r="E13" s="196">
        <f>-FCF!F18</f>
        <v>132.07722741163116</v>
      </c>
      <c r="F13" s="196">
        <f>-FCF!G18</f>
        <v>164.04980514247927</v>
      </c>
      <c r="G13" s="196">
        <f>-FCF!H18</f>
        <v>190.66612443780923</v>
      </c>
      <c r="H13" s="196">
        <f>-FCF!I18</f>
        <v>210.53214537281201</v>
      </c>
      <c r="I13" s="196">
        <f>-FCF!J18</f>
        <v>225.30192536999402</v>
      </c>
      <c r="J13" s="196">
        <f>-FCF!K18</f>
        <v>237.85636891974809</v>
      </c>
      <c r="K13" s="196">
        <f>-FCF!L18</f>
        <v>249.74918736573636</v>
      </c>
      <c r="L13" s="196">
        <f>-FCF!M18</f>
        <v>262.23664673402254</v>
      </c>
      <c r="M13" s="196">
        <f>-FCF!N18</f>
        <v>275.34847907072526</v>
      </c>
    </row>
    <row r="14" spans="2:15" x14ac:dyDescent="0.25">
      <c r="B14" s="5" t="s">
        <v>156</v>
      </c>
      <c r="C14" s="196">
        <f>-FCF!D19</f>
        <v>756.99060086059217</v>
      </c>
      <c r="D14" s="196">
        <f>-FCF!E19</f>
        <v>829.49911279166736</v>
      </c>
      <c r="E14" s="196">
        <f>-FCF!F19</f>
        <v>908.95286855599625</v>
      </c>
      <c r="F14" s="196">
        <f>-FCF!G19</f>
        <v>996.01711986842929</v>
      </c>
      <c r="G14" s="196">
        <f>-FCF!H19</f>
        <v>1091.4208397262864</v>
      </c>
      <c r="H14" s="196">
        <f>-FCF!I19</f>
        <v>1195.9628259664696</v>
      </c>
      <c r="I14" s="196">
        <f>-FCF!J19</f>
        <v>1310.5183894531565</v>
      </c>
      <c r="J14" s="196">
        <f>-FCF!K19</f>
        <v>1436.0466828950139</v>
      </c>
      <c r="K14" s="196">
        <f>-FCF!L19</f>
        <v>1573.598731654798</v>
      </c>
      <c r="L14" s="196">
        <f>-FCF!M19</f>
        <v>1724.3262337918131</v>
      </c>
      <c r="M14" s="196">
        <f>-FCF!N19</f>
        <v>1889.4912030184023</v>
      </c>
    </row>
    <row r="15" spans="2:15" ht="13.8" thickBot="1" x14ac:dyDescent="0.3">
      <c r="B15" s="10" t="s">
        <v>157</v>
      </c>
      <c r="C15" s="286">
        <f t="shared" ref="C15:M15" si="1">SUM(C5:C14)</f>
        <v>5865.1495978562034</v>
      </c>
      <c r="D15" s="286">
        <f t="shared" si="1"/>
        <v>6129.4000603884124</v>
      </c>
      <c r="E15" s="286">
        <f t="shared" si="1"/>
        <v>6282.438214095826</v>
      </c>
      <c r="F15" s="286">
        <f t="shared" si="1"/>
        <v>6497.9505117332665</v>
      </c>
      <c r="G15" s="286">
        <f t="shared" si="1"/>
        <v>6778.3166199743682</v>
      </c>
      <c r="H15" s="286">
        <f t="shared" si="1"/>
        <v>7113.6604755995941</v>
      </c>
      <c r="I15" s="286">
        <f t="shared" si="1"/>
        <v>7489.7694069123518</v>
      </c>
      <c r="J15" s="286">
        <f t="shared" si="1"/>
        <v>7896.6155582645788</v>
      </c>
      <c r="K15" s="286">
        <f t="shared" si="1"/>
        <v>8329.3742474414248</v>
      </c>
      <c r="L15" s="286">
        <f t="shared" si="1"/>
        <v>8787.4038044362096</v>
      </c>
      <c r="M15" s="286">
        <f t="shared" si="1"/>
        <v>9272.3157539641907</v>
      </c>
    </row>
    <row r="16" spans="2:15" ht="13.8" thickTop="1" x14ac:dyDescent="0.25">
      <c r="B16" s="5"/>
      <c r="C16" s="196"/>
      <c r="D16" s="196"/>
      <c r="E16" s="196"/>
      <c r="F16" s="196"/>
      <c r="G16" s="196"/>
      <c r="H16" s="196"/>
      <c r="I16" s="196"/>
      <c r="J16" s="196"/>
      <c r="K16" s="196"/>
      <c r="L16" s="196"/>
      <c r="M16" s="196"/>
      <c r="N16" s="196"/>
    </row>
    <row r="17" spans="2:13" x14ac:dyDescent="0.25">
      <c r="B17" s="7" t="s">
        <v>158</v>
      </c>
      <c r="C17" s="78"/>
      <c r="D17" s="78"/>
      <c r="E17" s="78"/>
      <c r="F17" s="78"/>
      <c r="G17" s="78"/>
      <c r="H17" s="78"/>
      <c r="I17" s="78"/>
      <c r="J17" s="78"/>
      <c r="K17" s="78"/>
      <c r="L17" s="78"/>
      <c r="M17" s="78"/>
    </row>
    <row r="18" spans="2:13" x14ac:dyDescent="0.25">
      <c r="B18" s="5" t="str">
        <f>FCF!B16</f>
        <v>Change in excess cash</v>
      </c>
      <c r="C18" s="277">
        <f>FCF!D16</f>
        <v>769.14959785620704</v>
      </c>
      <c r="D18" s="277">
        <f>FCF!E16</f>
        <v>1033.4000603884087</v>
      </c>
      <c r="E18" s="277">
        <f>FCF!F16</f>
        <v>1186.4382140958242</v>
      </c>
      <c r="F18" s="277">
        <f>FCF!G16</f>
        <v>1401.9505117332756</v>
      </c>
      <c r="G18" s="277">
        <f>FCF!H16</f>
        <v>1682.3166199743646</v>
      </c>
      <c r="H18" s="277">
        <f>FCF!I16</f>
        <v>2017.6604755995941</v>
      </c>
      <c r="I18" s="277">
        <f>FCF!J16</f>
        <v>2393.769406912339</v>
      </c>
      <c r="J18" s="277">
        <f>FCF!K16</f>
        <v>2800.6155582646061</v>
      </c>
      <c r="K18" s="277">
        <f>FCF!L16</f>
        <v>3233.3742474414103</v>
      </c>
      <c r="L18" s="277">
        <f>FCF!M16</f>
        <v>3691.4038044362132</v>
      </c>
      <c r="M18" s="277">
        <f>FCF!N16</f>
        <v>4176.3157539642052</v>
      </c>
    </row>
    <row r="19" spans="2:13" x14ac:dyDescent="0.25">
      <c r="B19" s="5" t="s">
        <v>50</v>
      </c>
      <c r="C19" s="196">
        <f>-'Income&amp;Equity'!D20</f>
        <v>2203</v>
      </c>
      <c r="D19" s="196">
        <f>-'Income&amp;Equity'!E20</f>
        <v>2203</v>
      </c>
      <c r="E19" s="196">
        <f>-'Income&amp;Equity'!F20</f>
        <v>2203</v>
      </c>
      <c r="F19" s="196">
        <f>-'Income&amp;Equity'!G20</f>
        <v>2203</v>
      </c>
      <c r="G19" s="196">
        <f>-'Income&amp;Equity'!H20</f>
        <v>2203</v>
      </c>
      <c r="H19" s="196">
        <f>-'Income&amp;Equity'!I20</f>
        <v>2203</v>
      </c>
      <c r="I19" s="196">
        <f>-'Income&amp;Equity'!J20</f>
        <v>2203</v>
      </c>
      <c r="J19" s="196">
        <f>-'Income&amp;Equity'!K20</f>
        <v>2203</v>
      </c>
      <c r="K19" s="196">
        <f>-'Income&amp;Equity'!L20</f>
        <v>2203</v>
      </c>
      <c r="L19" s="196">
        <f>-'Income&amp;Equity'!M20</f>
        <v>2203</v>
      </c>
      <c r="M19" s="196">
        <f>-'Income&amp;Equity'!N20</f>
        <v>2203</v>
      </c>
    </row>
    <row r="20" spans="2:13" x14ac:dyDescent="0.25">
      <c r="B20" s="5" t="s">
        <v>51</v>
      </c>
      <c r="C20" s="196">
        <f>-'Income&amp;Equity'!D21</f>
        <v>2893</v>
      </c>
      <c r="D20" s="196">
        <f>-'Income&amp;Equity'!E21</f>
        <v>2893</v>
      </c>
      <c r="E20" s="196">
        <f>-'Income&amp;Equity'!F21</f>
        <v>2893</v>
      </c>
      <c r="F20" s="196">
        <f>-'Income&amp;Equity'!G21</f>
        <v>2893</v>
      </c>
      <c r="G20" s="196">
        <f>-'Income&amp;Equity'!H21</f>
        <v>2893</v>
      </c>
      <c r="H20" s="196">
        <f>-'Income&amp;Equity'!I21</f>
        <v>2893</v>
      </c>
      <c r="I20" s="196">
        <f>-'Income&amp;Equity'!J21</f>
        <v>2893</v>
      </c>
      <c r="J20" s="196">
        <f>-'Income&amp;Equity'!K21</f>
        <v>2893</v>
      </c>
      <c r="K20" s="196">
        <f>-'Income&amp;Equity'!L21</f>
        <v>2893</v>
      </c>
      <c r="L20" s="196">
        <f>-'Income&amp;Equity'!M21</f>
        <v>2893</v>
      </c>
      <c r="M20" s="196">
        <f>-'Income&amp;Equity'!N21</f>
        <v>2893</v>
      </c>
    </row>
    <row r="21" spans="2:13" ht="13.8" thickBot="1" x14ac:dyDescent="0.3">
      <c r="B21" s="10" t="s">
        <v>157</v>
      </c>
      <c r="C21" s="286">
        <f>SUM(C18:C20)</f>
        <v>5865.149597856207</v>
      </c>
      <c r="D21" s="286">
        <f t="shared" ref="D21:M21" si="2">SUM(D18:D20)</f>
        <v>6129.4000603884087</v>
      </c>
      <c r="E21" s="286">
        <f t="shared" si="2"/>
        <v>6282.4382140958242</v>
      </c>
      <c r="F21" s="286">
        <f t="shared" si="2"/>
        <v>6497.9505117332756</v>
      </c>
      <c r="G21" s="286">
        <f t="shared" si="2"/>
        <v>6778.3166199743646</v>
      </c>
      <c r="H21" s="286">
        <f t="shared" si="2"/>
        <v>7113.6604755995941</v>
      </c>
      <c r="I21" s="286">
        <f t="shared" si="2"/>
        <v>7489.769406912339</v>
      </c>
      <c r="J21" s="286">
        <f t="shared" si="2"/>
        <v>7896.6155582646061</v>
      </c>
      <c r="K21" s="286">
        <f t="shared" si="2"/>
        <v>8329.3742474414103</v>
      </c>
      <c r="L21" s="286">
        <f t="shared" si="2"/>
        <v>8787.4038044362132</v>
      </c>
      <c r="M21" s="286">
        <f t="shared" si="2"/>
        <v>9272.3157539642052</v>
      </c>
    </row>
    <row r="22" spans="2:13" ht="13.8" thickTop="1" x14ac:dyDescent="0.25">
      <c r="B22" s="13"/>
      <c r="C22" s="78"/>
      <c r="D22" s="78"/>
      <c r="E22" s="78"/>
      <c r="F22" s="78"/>
      <c r="G22" s="78"/>
      <c r="H22" s="78"/>
      <c r="I22" s="78"/>
      <c r="J22" s="78"/>
      <c r="K22" s="78"/>
      <c r="L22" s="78"/>
      <c r="M22" s="78"/>
    </row>
    <row r="23" spans="2:13" x14ac:dyDescent="0.25">
      <c r="B23" s="13" t="s">
        <v>347</v>
      </c>
      <c r="C23" s="78"/>
      <c r="D23" s="346">
        <f>D21/C21-1</f>
        <v>4.5054343137093777E-2</v>
      </c>
      <c r="E23" s="346">
        <f t="shared" ref="E23:M23" si="3">E21/D21-1</f>
        <v>2.4967884654231165E-2</v>
      </c>
      <c r="F23" s="346">
        <f t="shared" si="3"/>
        <v>3.4303926324959155E-2</v>
      </c>
      <c r="G23" s="346">
        <f t="shared" si="3"/>
        <v>4.3146851878116843E-2</v>
      </c>
      <c r="H23" s="346">
        <f t="shared" si="3"/>
        <v>4.9473029134849966E-2</v>
      </c>
      <c r="I23" s="346">
        <f t="shared" si="3"/>
        <v>5.2871363850274689E-2</v>
      </c>
      <c r="J23" s="346">
        <f t="shared" si="3"/>
        <v>5.4320250631052502E-2</v>
      </c>
      <c r="K23" s="346">
        <f t="shared" si="3"/>
        <v>5.4803059105983598E-2</v>
      </c>
      <c r="L23" s="346">
        <f t="shared" si="3"/>
        <v>5.4989671899482673E-2</v>
      </c>
      <c r="M23" s="346">
        <f t="shared" si="3"/>
        <v>5.5182618247631821E-2</v>
      </c>
    </row>
    <row r="24" spans="2:13" x14ac:dyDescent="0.25">
      <c r="B24" s="13" t="s">
        <v>15</v>
      </c>
      <c r="C24" s="78">
        <f t="shared" ref="C24:M24" si="4">C21-C15</f>
        <v>0</v>
      </c>
      <c r="D24" s="78">
        <f t="shared" si="4"/>
        <v>0</v>
      </c>
      <c r="E24" s="78">
        <f t="shared" si="4"/>
        <v>0</v>
      </c>
      <c r="F24" s="78">
        <f t="shared" si="4"/>
        <v>9.0949470177292824E-12</v>
      </c>
      <c r="G24" s="78">
        <f t="shared" si="4"/>
        <v>0</v>
      </c>
      <c r="H24" s="78">
        <f t="shared" si="4"/>
        <v>0</v>
      </c>
      <c r="I24" s="78">
        <f t="shared" si="4"/>
        <v>-1.2732925824820995E-11</v>
      </c>
      <c r="J24" s="78">
        <f t="shared" si="4"/>
        <v>2.7284841053187847E-11</v>
      </c>
      <c r="K24" s="78">
        <f t="shared" si="4"/>
        <v>-1.4551915228366852E-11</v>
      </c>
      <c r="L24" s="78">
        <f t="shared" si="4"/>
        <v>0</v>
      </c>
      <c r="M24" s="78">
        <f t="shared" si="4"/>
        <v>1.4551915228366852E-11</v>
      </c>
    </row>
    <row r="27" spans="2:13" ht="27" thickBot="1" x14ac:dyDescent="0.3">
      <c r="B27" s="140" t="s">
        <v>99</v>
      </c>
      <c r="C27" s="142" t="s">
        <v>81</v>
      </c>
      <c r="D27" s="142" t="s">
        <v>104</v>
      </c>
      <c r="E27" s="142" t="s">
        <v>133</v>
      </c>
      <c r="G27" s="336" t="s">
        <v>55</v>
      </c>
      <c r="H27" s="336" t="s">
        <v>344</v>
      </c>
      <c r="I27" s="336" t="s">
        <v>91</v>
      </c>
      <c r="K27" s="336" t="s">
        <v>55</v>
      </c>
      <c r="L27" s="336" t="s">
        <v>344</v>
      </c>
      <c r="M27" s="336" t="s">
        <v>91</v>
      </c>
    </row>
    <row r="28" spans="2:13" ht="13.8" thickTop="1" x14ac:dyDescent="0.25">
      <c r="B28" s="144">
        <v>1</v>
      </c>
      <c r="C28" s="85" cm="1">
        <f t="array" ref="C28:C38">TRANSPOSE(C15:M15)</f>
        <v>5865.1495978562034</v>
      </c>
      <c r="D28" s="138">
        <f>1/(1+$H$35)^B28</f>
        <v>0.91477186524577614</v>
      </c>
      <c r="E28" s="86">
        <f>D28*C28</f>
        <v>5365.2738375764329</v>
      </c>
      <c r="G28" s="2" t="s">
        <v>332</v>
      </c>
      <c r="I28" s="302">
        <f>'Income&amp;Equity'!O15</f>
        <v>8627.7458259440627</v>
      </c>
      <c r="K28" s="2" t="s">
        <v>345</v>
      </c>
      <c r="M28" s="302">
        <f>M15*(1+M23)</f>
        <v>9783.9864144866988</v>
      </c>
    </row>
    <row r="29" spans="2:13" x14ac:dyDescent="0.25">
      <c r="B29" s="144">
        <f>B28+1</f>
        <v>2</v>
      </c>
      <c r="C29" s="85">
        <v>6129.4000603884124</v>
      </c>
      <c r="D29" s="138">
        <f t="shared" ref="D29:D38" si="5">1/(1+$H$35)^B29</f>
        <v>0.83680756544523638</v>
      </c>
      <c r="E29" s="86">
        <f>D29*C29</f>
        <v>5129.1283421735125</v>
      </c>
      <c r="G29" s="2" t="s">
        <v>333</v>
      </c>
      <c r="I29" s="190">
        <f>'Income&amp;Equity'!O15/'Income&amp;Equity'!N15-1</f>
        <v>4.5563762654857953E-2</v>
      </c>
      <c r="K29" s="2" t="s">
        <v>346</v>
      </c>
      <c r="M29" s="190">
        <f>M23</f>
        <v>5.5182618247631821E-2</v>
      </c>
    </row>
    <row r="30" spans="2:13" x14ac:dyDescent="0.25">
      <c r="B30" s="144">
        <f t="shared" ref="B30:B38" si="6">B29+1</f>
        <v>3</v>
      </c>
      <c r="C30" s="85">
        <v>6282.438214095826</v>
      </c>
      <c r="D30" s="138">
        <f t="shared" si="5"/>
        <v>0.76548801749411577</v>
      </c>
      <c r="E30" s="86">
        <f>D30*C30</f>
        <v>4809.1311735374875</v>
      </c>
      <c r="G30" s="2" t="s">
        <v>54</v>
      </c>
      <c r="H30" s="190">
        <f>'DCF Method'!G4</f>
        <v>0.35891897603796535</v>
      </c>
      <c r="I30" s="190">
        <f>'DCF Method'!C22</f>
        <v>0.39627579968181464</v>
      </c>
      <c r="L30" s="190"/>
      <c r="M30" s="190"/>
    </row>
    <row r="31" spans="2:13" x14ac:dyDescent="0.25">
      <c r="B31" s="144">
        <f t="shared" si="6"/>
        <v>4</v>
      </c>
      <c r="C31" s="85">
        <v>6497.9505117332665</v>
      </c>
      <c r="D31" s="138">
        <f t="shared" si="5"/>
        <v>0.70024690158638359</v>
      </c>
      <c r="E31" s="86">
        <f t="shared" ref="E31:E38" si="7">D31*C31</f>
        <v>4550.1697125028759</v>
      </c>
      <c r="G31" s="2" t="s">
        <v>341</v>
      </c>
      <c r="H31" s="190"/>
      <c r="I31" s="190">
        <f>WACC!D20</f>
        <v>4.6699999999999998E-2</v>
      </c>
      <c r="L31" s="190"/>
      <c r="M31" s="190"/>
    </row>
    <row r="32" spans="2:13" x14ac:dyDescent="0.25">
      <c r="B32" s="144">
        <f t="shared" si="6"/>
        <v>5</v>
      </c>
      <c r="C32" s="85">
        <v>6778.3166199743682</v>
      </c>
      <c r="D32" s="138">
        <f t="shared" si="5"/>
        <v>0.64056616429675151</v>
      </c>
      <c r="E32" s="86">
        <f t="shared" si="7"/>
        <v>4341.9602776459024</v>
      </c>
      <c r="G32" s="2" t="s">
        <v>342</v>
      </c>
      <c r="H32" s="190"/>
      <c r="I32" s="190">
        <f>WACC!E20</f>
        <v>0.1320933237257694</v>
      </c>
      <c r="L32" s="190"/>
      <c r="M32" s="190"/>
    </row>
    <row r="33" spans="2:13" x14ac:dyDescent="0.25">
      <c r="B33" s="144">
        <f t="shared" si="6"/>
        <v>6</v>
      </c>
      <c r="C33" s="85">
        <v>7113.6604755995941</v>
      </c>
      <c r="D33" s="138">
        <f t="shared" si="5"/>
        <v>0.58597190492707174</v>
      </c>
      <c r="E33" s="86">
        <f t="shared" si="7"/>
        <v>4168.4051798915134</v>
      </c>
      <c r="G33" s="2" t="s">
        <v>343</v>
      </c>
      <c r="H33" s="190"/>
      <c r="I33" s="190">
        <f>WACC!C20/WACC!C21</f>
        <v>0.25586197947796624</v>
      </c>
      <c r="L33" s="190"/>
      <c r="M33" s="190"/>
    </row>
    <row r="34" spans="2:13" x14ac:dyDescent="0.25">
      <c r="B34" s="144">
        <f t="shared" si="6"/>
        <v>7</v>
      </c>
      <c r="C34" s="85">
        <v>7489.7694069123518</v>
      </c>
      <c r="D34" s="138">
        <f t="shared" si="5"/>
        <v>0.53603061245175798</v>
      </c>
      <c r="E34" s="86">
        <f t="shared" si="7"/>
        <v>4014.7456823096682</v>
      </c>
      <c r="G34" s="2" t="s">
        <v>159</v>
      </c>
      <c r="H34" s="190"/>
      <c r="I34" s="190">
        <f>I30+(I30-(1-I32)*I31)*I33</f>
        <v>0.48729730645457353</v>
      </c>
      <c r="J34" s="280"/>
      <c r="L34" s="190"/>
      <c r="M34" s="190"/>
    </row>
    <row r="35" spans="2:13" x14ac:dyDescent="0.25">
      <c r="B35" s="144">
        <f t="shared" si="6"/>
        <v>8</v>
      </c>
      <c r="C35" s="85">
        <v>7896.6155582645788</v>
      </c>
      <c r="D35" s="138">
        <f t="shared" si="5"/>
        <v>0.49034572318133041</v>
      </c>
      <c r="E35" s="86">
        <f t="shared" si="7"/>
        <v>3872.0716666021899</v>
      </c>
      <c r="G35" s="33" t="s">
        <v>70</v>
      </c>
      <c r="H35" s="191">
        <f>WACC!D16</f>
        <v>9.3168732000000004E-2</v>
      </c>
      <c r="I35" s="191">
        <f>WACC!D21</f>
        <v>9.9953810647721228E-2</v>
      </c>
      <c r="K35" s="33" t="s">
        <v>70</v>
      </c>
      <c r="L35" s="191">
        <f>WACC!H16</f>
        <v>0</v>
      </c>
      <c r="M35" s="191">
        <f>I35</f>
        <v>9.9953810647721228E-2</v>
      </c>
    </row>
    <row r="36" spans="2:13" x14ac:dyDescent="0.25">
      <c r="B36" s="144">
        <f t="shared" si="6"/>
        <v>9</v>
      </c>
      <c r="C36" s="85">
        <v>8329.3742474414248</v>
      </c>
      <c r="D36" s="138">
        <f t="shared" si="5"/>
        <v>0.44855447180987457</v>
      </c>
      <c r="E36" s="86">
        <f t="shared" si="7"/>
        <v>3736.1780660678596</v>
      </c>
    </row>
    <row r="37" spans="2:13" ht="13.8" thickBot="1" x14ac:dyDescent="0.3">
      <c r="B37" s="144">
        <f t="shared" si="6"/>
        <v>10</v>
      </c>
      <c r="C37" s="85">
        <v>8787.4038044362096</v>
      </c>
      <c r="D37" s="138">
        <f t="shared" si="5"/>
        <v>0.41032501084185291</v>
      </c>
      <c r="E37" s="86">
        <f t="shared" si="7"/>
        <v>3605.6915613270271</v>
      </c>
      <c r="G37" s="34" t="s">
        <v>334</v>
      </c>
      <c r="H37" s="34"/>
      <c r="I37" s="345">
        <f>I28*(1-(I29/I34))/(I35-I29)</f>
        <v>143795.16015147092</v>
      </c>
      <c r="K37" s="34" t="s">
        <v>334</v>
      </c>
      <c r="L37" s="34"/>
      <c r="M37" s="345">
        <f>M28/(M35-M29)</f>
        <v>218533.07651612067</v>
      </c>
    </row>
    <row r="38" spans="2:13" ht="13.8" thickTop="1" x14ac:dyDescent="0.25">
      <c r="B38" s="144">
        <f t="shared" si="6"/>
        <v>11</v>
      </c>
      <c r="C38" s="85">
        <v>9272.3157539641907</v>
      </c>
      <c r="D38" s="138">
        <f t="shared" si="5"/>
        <v>0.37535377552479515</v>
      </c>
      <c r="E38" s="86">
        <f t="shared" si="7"/>
        <v>3480.3987261084967</v>
      </c>
    </row>
    <row r="39" spans="2:13" x14ac:dyDescent="0.25">
      <c r="B39" s="8" t="s">
        <v>106</v>
      </c>
      <c r="C39" s="145">
        <f>M37</f>
        <v>218533.07651612067</v>
      </c>
      <c r="D39" s="146">
        <f>D38</f>
        <v>0.37535377552479515</v>
      </c>
      <c r="E39" s="87">
        <f>D39*C39</f>
        <v>82027.215347374833</v>
      </c>
      <c r="G39" s="344"/>
      <c r="I39" s="343"/>
    </row>
    <row r="40" spans="2:13" x14ac:dyDescent="0.25">
      <c r="B40" s="5" t="s">
        <v>135</v>
      </c>
      <c r="C40" s="5"/>
      <c r="D40" s="5"/>
      <c r="E40" s="117">
        <f>SUM(E28:E39)</f>
        <v>129100.3695731178</v>
      </c>
    </row>
    <row r="41" spans="2:13" x14ac:dyDescent="0.25">
      <c r="B41" s="5"/>
      <c r="C41" s="5"/>
      <c r="D41" s="5"/>
      <c r="E41" s="117"/>
    </row>
    <row r="42" spans="2:13" ht="13.8" thickBot="1" x14ac:dyDescent="0.3">
      <c r="B42" s="9" t="s">
        <v>109</v>
      </c>
      <c r="C42" s="9"/>
      <c r="D42" s="9"/>
      <c r="E42" s="147">
        <f>F32+E40</f>
        <v>129100.3695731178</v>
      </c>
    </row>
    <row r="43" spans="2:13" ht="13.8" thickTop="1" x14ac:dyDescent="0.25">
      <c r="B43" s="13"/>
      <c r="C43" s="13"/>
      <c r="D43" s="13"/>
      <c r="E43" s="192"/>
    </row>
    <row r="44" spans="2:13" x14ac:dyDescent="0.25">
      <c r="B44" s="1" t="s">
        <v>85</v>
      </c>
      <c r="C44" s="1"/>
      <c r="D44" s="1"/>
      <c r="E44" s="105">
        <f>(1+I35)^(1/2)</f>
        <v>1.0487868280292811</v>
      </c>
    </row>
    <row r="45" spans="2:13" x14ac:dyDescent="0.25">
      <c r="B45" s="62" t="s">
        <v>86</v>
      </c>
      <c r="C45" s="62"/>
      <c r="D45" s="62"/>
      <c r="E45" s="63">
        <f>E44*E42</f>
        <v>135398.76710199815</v>
      </c>
    </row>
    <row r="46" spans="2:13" x14ac:dyDescent="0.25">
      <c r="B46" s="1"/>
      <c r="C46" s="1"/>
      <c r="D46" s="1"/>
      <c r="E46" s="1"/>
    </row>
    <row r="47" spans="2:13" x14ac:dyDescent="0.25">
      <c r="B47" s="1" t="s">
        <v>111</v>
      </c>
      <c r="C47" s="1"/>
      <c r="D47" s="1"/>
      <c r="E47" s="104">
        <f>'DCF Method'!P20</f>
        <v>10554.76</v>
      </c>
    </row>
    <row r="48" spans="2:13" ht="13.8" thickBot="1" x14ac:dyDescent="0.3">
      <c r="B48" s="65" t="s">
        <v>87</v>
      </c>
      <c r="C48" s="65"/>
      <c r="D48" s="65"/>
      <c r="E48" s="106">
        <f>SUM(E45:E47)</f>
        <v>145953.52710199816</v>
      </c>
    </row>
    <row r="49" spans="2:5" ht="13.8" thickTop="1" x14ac:dyDescent="0.25">
      <c r="B49" s="1"/>
      <c r="C49" s="1"/>
      <c r="D49" s="1"/>
      <c r="E49" s="1"/>
    </row>
    <row r="50" spans="2:5" x14ac:dyDescent="0.25">
      <c r="B50" s="1" t="s">
        <v>331</v>
      </c>
      <c r="C50" s="1"/>
      <c r="D50" s="1"/>
      <c r="E50" s="104">
        <v>0</v>
      </c>
    </row>
    <row r="51" spans="2:5" ht="13.8" thickBot="1" x14ac:dyDescent="0.3">
      <c r="B51" s="65" t="s">
        <v>88</v>
      </c>
      <c r="C51" s="65"/>
      <c r="D51" s="65"/>
      <c r="E51" s="106">
        <f>SUM(E48:E50)</f>
        <v>145953.52710199816</v>
      </c>
    </row>
    <row r="52" spans="2:5" ht="13.8" thickTop="1" x14ac:dyDescent="0.25">
      <c r="B52" s="1"/>
      <c r="C52" s="1"/>
      <c r="D52" s="1"/>
      <c r="E52" s="1"/>
    </row>
    <row r="53" spans="2:5" x14ac:dyDescent="0.25">
      <c r="B53" s="2" t="s">
        <v>89</v>
      </c>
      <c r="C53" s="13"/>
      <c r="D53" s="13"/>
      <c r="E53" s="204">
        <f>'DCF Method'!P26</f>
        <v>1504.4000725264168</v>
      </c>
    </row>
    <row r="54" spans="2:5" ht="13.8" thickBot="1" x14ac:dyDescent="0.3">
      <c r="B54" s="208" t="s">
        <v>90</v>
      </c>
      <c r="C54" s="209"/>
      <c r="D54" s="209"/>
      <c r="E54" s="210">
        <f>E42/E53</f>
        <v>85.815184358714419</v>
      </c>
    </row>
    <row r="55" spans="2:5" ht="13.8" thickTop="1" x14ac:dyDescent="0.25">
      <c r="B55" s="13"/>
      <c r="C55" s="13"/>
      <c r="D55" s="13"/>
      <c r="E55" s="78">
        <f>'EC Profit Method'!H49-E54</f>
        <v>5.4993418473682425</v>
      </c>
    </row>
  </sheetData>
  <conditionalFormatting sqref="B27:E55">
    <cfRule type="expression" dxfId="13" priority="16">
      <formula>_xlfn.ISFORMULA(B27)</formula>
    </cfRule>
  </conditionalFormatting>
  <conditionalFormatting sqref="B2:M10 G27:G29 G34:G37 B12:M15 B17:M24 B16:N16">
    <cfRule type="expression" dxfId="12" priority="24">
      <formula>_xlfn.ISFORMULA(B2)</formula>
    </cfRule>
  </conditionalFormatting>
  <conditionalFormatting sqref="H27">
    <cfRule type="expression" dxfId="11" priority="13">
      <formula>_xlfn.ISFORMULA(H27)</formula>
    </cfRule>
  </conditionalFormatting>
  <conditionalFormatting sqref="H30:H35">
    <cfRule type="expression" dxfId="10" priority="9">
      <formula>_xlfn.ISFORMULA(H30)</formula>
    </cfRule>
  </conditionalFormatting>
  <conditionalFormatting sqref="H37">
    <cfRule type="expression" dxfId="9" priority="11">
      <formula>_xlfn.ISFORMULA(H37)</formula>
    </cfRule>
  </conditionalFormatting>
  <conditionalFormatting sqref="I27:I37">
    <cfRule type="expression" dxfId="8" priority="15">
      <formula>_xlfn.ISFORMULA(I27)</formula>
    </cfRule>
  </conditionalFormatting>
  <conditionalFormatting sqref="K27:K29 K34:K37">
    <cfRule type="expression" dxfId="7" priority="8">
      <formula>_xlfn.ISFORMULA(K27)</formula>
    </cfRule>
  </conditionalFormatting>
  <conditionalFormatting sqref="L27">
    <cfRule type="expression" dxfId="6" priority="6">
      <formula>_xlfn.ISFORMULA(L27)</formula>
    </cfRule>
  </conditionalFormatting>
  <conditionalFormatting sqref="L30:L35">
    <cfRule type="expression" dxfId="5" priority="4">
      <formula>_xlfn.ISFORMULA(L30)</formula>
    </cfRule>
  </conditionalFormatting>
  <conditionalFormatting sqref="L37">
    <cfRule type="expression" dxfId="4" priority="5">
      <formula>_xlfn.ISFORMULA(L37)</formula>
    </cfRule>
  </conditionalFormatting>
  <conditionalFormatting sqref="M27:M36">
    <cfRule type="expression" dxfId="3" priority="7">
      <formula>_xlfn.ISFORMULA(M27)</formula>
    </cfRule>
  </conditionalFormatting>
  <conditionalFormatting sqref="M37">
    <cfRule type="expression" dxfId="2" priority="3">
      <formula>_xlfn.ISFORMULA(M37)</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DECF0-BFC6-41B9-86F7-687F4FA03F25}">
  <dimension ref="A1"/>
  <sheetViews>
    <sheetView workbookViewId="0">
      <selection activeCell="E23" sqref="E23"/>
    </sheetView>
  </sheetViews>
  <sheetFormatPr defaultRowHeight="13.2" x14ac:dyDescent="0.2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5066D-0AB5-4E0D-AF4C-623026220F08}">
  <dimension ref="A1"/>
  <sheetViews>
    <sheetView workbookViewId="0">
      <selection activeCell="C11" sqref="C11"/>
    </sheetView>
  </sheetViews>
  <sheetFormatPr defaultRowHeight="13.2" x14ac:dyDescent="0.25"/>
  <sheetData>
    <row r="1" spans="1:1" x14ac:dyDescent="0.25">
      <c r="A1" s="236" t="s">
        <v>258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03193-D448-49D1-A078-1D77F64F0254}">
  <sheetPr>
    <tabColor rgb="FFFFFF00"/>
  </sheetPr>
  <dimension ref="A1:AA140"/>
  <sheetViews>
    <sheetView showGridLines="0" topLeftCell="A61" workbookViewId="0">
      <selection activeCell="D74" sqref="D74:H74"/>
    </sheetView>
  </sheetViews>
  <sheetFormatPr defaultColWidth="9.6640625" defaultRowHeight="13.2" outlineLevelRow="1" x14ac:dyDescent="0.25"/>
  <cols>
    <col min="1" max="1" width="3" style="211" customWidth="1"/>
    <col min="2" max="2" width="41.88671875" style="211" bestFit="1" customWidth="1"/>
    <col min="3" max="5" width="10.6640625" style="245" customWidth="1"/>
    <col min="6" max="8" width="10.6640625" style="245" bestFit="1" customWidth="1"/>
    <col min="9" max="1999" width="9.6640625" style="211"/>
    <col min="2000" max="2000" width="2.33203125" style="211" customWidth="1"/>
    <col min="2001" max="16384" width="9.6640625" style="211"/>
  </cols>
  <sheetData>
    <row r="1" spans="2:27" x14ac:dyDescent="0.25">
      <c r="C1" s="244"/>
      <c r="D1" s="244"/>
      <c r="E1" s="244"/>
      <c r="F1" s="244"/>
      <c r="G1" s="244"/>
      <c r="H1" s="244"/>
      <c r="P1" s="274">
        <v>1</v>
      </c>
      <c r="Q1" s="274">
        <v>2</v>
      </c>
      <c r="R1" s="274">
        <v>3</v>
      </c>
      <c r="S1" s="274">
        <v>4</v>
      </c>
      <c r="T1" s="274">
        <v>5</v>
      </c>
      <c r="U1" s="274">
        <v>6</v>
      </c>
      <c r="V1" s="274">
        <v>7</v>
      </c>
      <c r="W1" s="274">
        <v>8</v>
      </c>
    </row>
    <row r="2" spans="2:27" ht="13.8" thickBot="1" x14ac:dyDescent="0.3">
      <c r="B2" s="239" t="s">
        <v>12</v>
      </c>
      <c r="C2" s="240">
        <v>2019</v>
      </c>
      <c r="D2" s="240">
        <v>2020</v>
      </c>
      <c r="E2" s="240">
        <v>2021</v>
      </c>
      <c r="F2" s="240">
        <v>2022</v>
      </c>
      <c r="G2" s="241">
        <v>2023</v>
      </c>
      <c r="H2" s="241">
        <v>2024</v>
      </c>
      <c r="J2" s="240">
        <f>C2</f>
        <v>2019</v>
      </c>
      <c r="K2" s="240">
        <f t="shared" ref="K2:O2" si="0">D2</f>
        <v>2020</v>
      </c>
      <c r="L2" s="240">
        <f t="shared" si="0"/>
        <v>2021</v>
      </c>
      <c r="M2" s="240">
        <f t="shared" si="0"/>
        <v>2022</v>
      </c>
      <c r="N2" s="240">
        <f t="shared" si="0"/>
        <v>2023</v>
      </c>
      <c r="O2" s="240">
        <f t="shared" si="0"/>
        <v>2024</v>
      </c>
      <c r="P2" s="241">
        <f>O2+1</f>
        <v>2025</v>
      </c>
      <c r="Q2" s="241">
        <f t="shared" ref="Q2:W2" si="1">P2+1</f>
        <v>2026</v>
      </c>
      <c r="R2" s="241">
        <f t="shared" si="1"/>
        <v>2027</v>
      </c>
      <c r="S2" s="241">
        <f t="shared" si="1"/>
        <v>2028</v>
      </c>
      <c r="T2" s="241">
        <f t="shared" si="1"/>
        <v>2029</v>
      </c>
      <c r="U2" s="241">
        <f t="shared" si="1"/>
        <v>2030</v>
      </c>
      <c r="V2" s="241">
        <f t="shared" si="1"/>
        <v>2031</v>
      </c>
      <c r="W2" s="241">
        <f t="shared" si="1"/>
        <v>2032</v>
      </c>
      <c r="X2" s="241">
        <f>W2+1</f>
        <v>2033</v>
      </c>
      <c r="Y2" s="241">
        <f>X2+1</f>
        <v>2034</v>
      </c>
      <c r="Z2" s="241">
        <f t="shared" ref="Z2" si="2">Y2+1</f>
        <v>2035</v>
      </c>
      <c r="AA2" s="241" t="s">
        <v>91</v>
      </c>
    </row>
    <row r="3" spans="2:27" ht="13.8" hidden="1" outlineLevel="1" thickTop="1" x14ac:dyDescent="0.25"/>
    <row r="4" spans="2:27" hidden="1" outlineLevel="1" x14ac:dyDescent="0.25">
      <c r="B4" s="23" t="s">
        <v>160</v>
      </c>
      <c r="C4" s="255">
        <v>39117</v>
      </c>
      <c r="D4" s="255">
        <v>37403</v>
      </c>
      <c r="E4" s="255">
        <v>44538</v>
      </c>
      <c r="F4" s="255">
        <v>46710</v>
      </c>
      <c r="G4" s="255">
        <v>51217</v>
      </c>
      <c r="H4" s="255">
        <v>51362</v>
      </c>
    </row>
    <row r="5" spans="2:27" hidden="1" outlineLevel="1" x14ac:dyDescent="0.25">
      <c r="B5" s="25" t="s">
        <v>161</v>
      </c>
      <c r="C5" s="257">
        <v>0</v>
      </c>
      <c r="D5" s="257">
        <v>0</v>
      </c>
      <c r="E5" s="257">
        <v>0</v>
      </c>
      <c r="F5" s="257">
        <v>0</v>
      </c>
      <c r="G5" s="257">
        <v>0</v>
      </c>
      <c r="H5" s="257">
        <v>0</v>
      </c>
    </row>
    <row r="6" spans="2:27" ht="13.8" collapsed="1" thickTop="1" x14ac:dyDescent="0.25">
      <c r="B6" s="212" t="s">
        <v>162</v>
      </c>
      <c r="C6" s="258">
        <f t="shared" ref="C6:H6" si="3">SUM(C4:C5)</f>
        <v>39117</v>
      </c>
      <c r="D6" s="258">
        <f t="shared" si="3"/>
        <v>37403</v>
      </c>
      <c r="E6" s="258">
        <f t="shared" si="3"/>
        <v>44538</v>
      </c>
      <c r="F6" s="258">
        <f t="shared" si="3"/>
        <v>46710</v>
      </c>
      <c r="G6" s="258">
        <f t="shared" si="3"/>
        <v>51217</v>
      </c>
      <c r="H6" s="258">
        <f t="shared" si="3"/>
        <v>51362</v>
      </c>
      <c r="J6" s="237">
        <f>0</f>
        <v>0</v>
      </c>
      <c r="K6" s="237">
        <f>D6/C6-1</f>
        <v>-4.3817266150267153E-2</v>
      </c>
      <c r="L6" s="237">
        <f t="shared" ref="L6:O6" si="4">E6/D6-1</f>
        <v>0.19076009945726269</v>
      </c>
      <c r="M6" s="237">
        <f t="shared" si="4"/>
        <v>4.8767344739323759E-2</v>
      </c>
      <c r="N6" s="237">
        <f t="shared" si="4"/>
        <v>9.6488974523656568E-2</v>
      </c>
      <c r="O6" s="237">
        <f t="shared" si="4"/>
        <v>2.8310912392370824E-3</v>
      </c>
      <c r="P6" s="273">
        <v>0.02</v>
      </c>
      <c r="Q6" s="272">
        <f>P6+($W$6-P6)*Q$1/($W$1+1)</f>
        <v>2.6666666666666668E-2</v>
      </c>
      <c r="R6" s="272">
        <f t="shared" ref="R6:V6" si="5">Q6+($W$6-Q6)*R$1/($W$1+1)</f>
        <v>3.4444444444444444E-2</v>
      </c>
      <c r="S6" s="272">
        <f t="shared" si="5"/>
        <v>4.1358024691358027E-2</v>
      </c>
      <c r="T6" s="272">
        <f t="shared" si="5"/>
        <v>4.6159122085048014E-2</v>
      </c>
      <c r="U6" s="272">
        <f t="shared" si="5"/>
        <v>4.8719707361682671E-2</v>
      </c>
      <c r="V6" s="272">
        <f t="shared" si="5"/>
        <v>4.971549052481837E-2</v>
      </c>
      <c r="W6" s="273">
        <v>0.05</v>
      </c>
      <c r="X6" s="272">
        <f>W6</f>
        <v>0.05</v>
      </c>
      <c r="Y6" s="272">
        <f t="shared" ref="Y6:AA6" si="6">X6</f>
        <v>0.05</v>
      </c>
      <c r="Z6" s="272">
        <f t="shared" si="6"/>
        <v>0.05</v>
      </c>
      <c r="AA6" s="272">
        <f t="shared" si="6"/>
        <v>0.05</v>
      </c>
    </row>
    <row r="7" spans="2:27" hidden="1" outlineLevel="1" x14ac:dyDescent="0.25">
      <c r="B7" s="23"/>
      <c r="C7" s="255"/>
      <c r="D7" s="255"/>
      <c r="E7" s="255"/>
      <c r="F7" s="255"/>
      <c r="G7" s="255"/>
      <c r="H7" s="255"/>
    </row>
    <row r="8" spans="2:27" collapsed="1" x14ac:dyDescent="0.25">
      <c r="B8" s="213" t="s">
        <v>163</v>
      </c>
      <c r="C8" s="255">
        <v>-21643</v>
      </c>
      <c r="D8" s="255">
        <v>-21162</v>
      </c>
      <c r="E8" s="255">
        <v>-24576</v>
      </c>
      <c r="F8" s="255">
        <v>-25231</v>
      </c>
      <c r="G8" s="255">
        <v>-28925</v>
      </c>
      <c r="H8" s="255">
        <v>-28475</v>
      </c>
      <c r="J8" s="237">
        <f>-(C8)/C6</f>
        <v>0.55328885139453432</v>
      </c>
      <c r="K8" s="237">
        <f t="shared" ref="K8:O8" si="7">-(D8)/D6</f>
        <v>0.5657834933026763</v>
      </c>
      <c r="L8" s="237">
        <f t="shared" si="7"/>
        <v>0.55179846423279</v>
      </c>
      <c r="M8" s="237">
        <f t="shared" si="7"/>
        <v>0.54016270605865979</v>
      </c>
      <c r="N8" s="237">
        <f t="shared" si="7"/>
        <v>0.56475389030985801</v>
      </c>
      <c r="O8" s="237">
        <f t="shared" si="7"/>
        <v>0.55439819321677508</v>
      </c>
      <c r="P8" s="273">
        <f>AVERAGE(J8:O8)</f>
        <v>0.55503093308588214</v>
      </c>
      <c r="Q8" s="272">
        <f>P8</f>
        <v>0.55503093308588214</v>
      </c>
      <c r="R8" s="272">
        <f t="shared" ref="R8:AA8" si="8">Q8</f>
        <v>0.55503093308588214</v>
      </c>
      <c r="S8" s="272">
        <f t="shared" si="8"/>
        <v>0.55503093308588214</v>
      </c>
      <c r="T8" s="272">
        <f t="shared" si="8"/>
        <v>0.55503093308588214</v>
      </c>
      <c r="U8" s="272">
        <f t="shared" si="8"/>
        <v>0.55503093308588214</v>
      </c>
      <c r="V8" s="272">
        <f t="shared" si="8"/>
        <v>0.55503093308588214</v>
      </c>
      <c r="W8" s="272">
        <f t="shared" si="8"/>
        <v>0.55503093308588214</v>
      </c>
      <c r="X8" s="272">
        <f t="shared" si="8"/>
        <v>0.55503093308588214</v>
      </c>
      <c r="Y8" s="272">
        <f t="shared" si="8"/>
        <v>0.55503093308588214</v>
      </c>
      <c r="Z8" s="272">
        <f t="shared" si="8"/>
        <v>0.55503093308588214</v>
      </c>
      <c r="AA8" s="272">
        <f t="shared" si="8"/>
        <v>0.55503093308588214</v>
      </c>
    </row>
    <row r="9" spans="2:27" hidden="1" outlineLevel="1" x14ac:dyDescent="0.25">
      <c r="B9" s="213" t="s">
        <v>164</v>
      </c>
      <c r="C9" s="255">
        <f>-12702-C10</f>
        <v>-11997</v>
      </c>
      <c r="D9" s="256">
        <f>-13126-D10</f>
        <v>-12405</v>
      </c>
      <c r="E9" s="256">
        <f>-13025-E10</f>
        <v>-12281</v>
      </c>
      <c r="F9" s="256">
        <f>-14804-F10</f>
        <v>-14087</v>
      </c>
      <c r="G9" s="256">
        <f>-16377-G10</f>
        <v>-15674</v>
      </c>
      <c r="H9" s="256">
        <f>-16576-H10</f>
        <v>-15780</v>
      </c>
      <c r="J9" s="315">
        <f t="shared" ref="J9:O9" si="9">-(C9-C103)/C6</f>
        <v>0.30631183372958048</v>
      </c>
      <c r="K9" s="315">
        <f t="shared" si="9"/>
        <v>0.32101703071946103</v>
      </c>
      <c r="L9" s="315">
        <f t="shared" si="9"/>
        <v>0.27455206789707665</v>
      </c>
      <c r="M9" s="315">
        <f t="shared" si="9"/>
        <v>0.29895097409548277</v>
      </c>
      <c r="N9" s="315">
        <f t="shared" si="9"/>
        <v>0.30298533689985746</v>
      </c>
      <c r="O9" s="315">
        <f t="shared" si="9"/>
        <v>0.3062964837817842</v>
      </c>
      <c r="P9" s="273">
        <f>AVERAGE(J9:O9)</f>
        <v>0.30168562118720704</v>
      </c>
      <c r="Q9" s="272">
        <f>P9</f>
        <v>0.30168562118720704</v>
      </c>
      <c r="R9" s="272">
        <f t="shared" ref="R9" si="10">Q9</f>
        <v>0.30168562118720704</v>
      </c>
      <c r="S9" s="272">
        <f t="shared" ref="S9" si="11">R9</f>
        <v>0.30168562118720704</v>
      </c>
      <c r="T9" s="272">
        <f t="shared" ref="T9" si="12">S9</f>
        <v>0.30168562118720704</v>
      </c>
      <c r="U9" s="272">
        <f t="shared" ref="U9" si="13">T9</f>
        <v>0.30168562118720704</v>
      </c>
      <c r="V9" s="272">
        <f t="shared" ref="V9" si="14">U9</f>
        <v>0.30168562118720704</v>
      </c>
      <c r="W9" s="272">
        <f t="shared" ref="W9" si="15">V9</f>
        <v>0.30168562118720704</v>
      </c>
      <c r="X9" s="272">
        <f t="shared" ref="X9" si="16">W9</f>
        <v>0.30168562118720704</v>
      </c>
      <c r="Y9" s="272">
        <f t="shared" ref="Y9" si="17">X9</f>
        <v>0.30168562118720704</v>
      </c>
      <c r="Z9" s="272">
        <f t="shared" ref="Z9" si="18">Y9</f>
        <v>0.30168562118720704</v>
      </c>
      <c r="AA9" s="272">
        <f t="shared" ref="AA9" si="19">Z9</f>
        <v>0.30168562118720704</v>
      </c>
    </row>
    <row r="10" spans="2:27" hidden="1" outlineLevel="1" x14ac:dyDescent="0.25">
      <c r="B10" s="213" t="s">
        <v>1</v>
      </c>
      <c r="C10" s="255">
        <v>-705</v>
      </c>
      <c r="D10" s="255">
        <v>-721</v>
      </c>
      <c r="E10" s="255">
        <v>-744</v>
      </c>
      <c r="F10" s="255">
        <v>-717</v>
      </c>
      <c r="G10" s="255">
        <v>-703</v>
      </c>
      <c r="H10" s="255">
        <v>-796</v>
      </c>
      <c r="J10" s="237">
        <f>0</f>
        <v>0</v>
      </c>
      <c r="K10" s="237">
        <f>-D10/C55</f>
        <v>0.15198145025295109</v>
      </c>
      <c r="L10" s="237">
        <f>-E10/D55</f>
        <v>0.15289765721331688</v>
      </c>
      <c r="M10" s="237">
        <f>-F10/E55</f>
        <v>0.14620717781402937</v>
      </c>
      <c r="N10" s="237">
        <f>-G10/F55</f>
        <v>0.14673345856814862</v>
      </c>
      <c r="O10" s="237">
        <f>-H10/G55</f>
        <v>0.15666207439480417</v>
      </c>
      <c r="P10" s="273">
        <f>AVERAGE(K10:O10)</f>
        <v>0.15089636364865006</v>
      </c>
      <c r="Q10" s="272">
        <f>P10</f>
        <v>0.15089636364865006</v>
      </c>
      <c r="R10" s="272">
        <f t="shared" ref="R10:AA10" si="20">Q10</f>
        <v>0.15089636364865006</v>
      </c>
      <c r="S10" s="272">
        <f t="shared" si="20"/>
        <v>0.15089636364865006</v>
      </c>
      <c r="T10" s="272">
        <f t="shared" si="20"/>
        <v>0.15089636364865006</v>
      </c>
      <c r="U10" s="272">
        <f t="shared" si="20"/>
        <v>0.15089636364865006</v>
      </c>
      <c r="V10" s="272">
        <f t="shared" si="20"/>
        <v>0.15089636364865006</v>
      </c>
      <c r="W10" s="272">
        <f t="shared" si="20"/>
        <v>0.15089636364865006</v>
      </c>
      <c r="X10" s="272">
        <f t="shared" si="20"/>
        <v>0.15089636364865006</v>
      </c>
      <c r="Y10" s="272">
        <f t="shared" si="20"/>
        <v>0.15089636364865006</v>
      </c>
      <c r="Z10" s="272">
        <f t="shared" si="20"/>
        <v>0.15089636364865006</v>
      </c>
      <c r="AA10" s="272">
        <f t="shared" si="20"/>
        <v>0.15089636364865006</v>
      </c>
    </row>
    <row r="11" spans="2:27" hidden="1" outlineLevel="1" x14ac:dyDescent="0.25">
      <c r="B11" s="212" t="s">
        <v>165</v>
      </c>
      <c r="C11" s="258">
        <f t="shared" ref="C11:H11" si="21">SUM(C6:C10)</f>
        <v>4772</v>
      </c>
      <c r="D11" s="258">
        <f t="shared" si="21"/>
        <v>3115</v>
      </c>
      <c r="E11" s="258">
        <f t="shared" si="21"/>
        <v>6937</v>
      </c>
      <c r="F11" s="258">
        <f t="shared" si="21"/>
        <v>6675</v>
      </c>
      <c r="G11" s="258">
        <f t="shared" si="21"/>
        <v>5915</v>
      </c>
      <c r="H11" s="258">
        <f t="shared" si="21"/>
        <v>6311</v>
      </c>
      <c r="J11" s="313"/>
    </row>
    <row r="12" spans="2:27" hidden="1" outlineLevel="1" x14ac:dyDescent="0.25">
      <c r="C12" s="246"/>
      <c r="D12" s="246"/>
      <c r="E12" s="246"/>
      <c r="F12" s="246"/>
      <c r="G12" s="246"/>
      <c r="H12" s="246"/>
    </row>
    <row r="13" spans="2:27" hidden="1" outlineLevel="1" x14ac:dyDescent="0.25">
      <c r="B13" s="23" t="s">
        <v>166</v>
      </c>
      <c r="C13" s="259">
        <v>-49</v>
      </c>
      <c r="D13" s="259">
        <v>-89</v>
      </c>
      <c r="E13" s="259">
        <v>-262</v>
      </c>
      <c r="F13" s="259">
        <v>-205</v>
      </c>
      <c r="G13" s="259">
        <v>6</v>
      </c>
      <c r="H13" s="259">
        <v>161</v>
      </c>
      <c r="K13" s="238"/>
      <c r="L13" s="238"/>
      <c r="M13" s="238"/>
      <c r="N13" s="238"/>
      <c r="O13" s="238"/>
    </row>
    <row r="14" spans="2:27" hidden="1" outlineLevel="1" x14ac:dyDescent="0.25">
      <c r="B14" s="23" t="s">
        <v>167</v>
      </c>
      <c r="C14" s="259">
        <v>0</v>
      </c>
      <c r="D14" s="259">
        <v>0</v>
      </c>
      <c r="E14" s="259">
        <v>0</v>
      </c>
      <c r="F14" s="259">
        <v>0</v>
      </c>
      <c r="G14" s="259">
        <v>0</v>
      </c>
      <c r="H14" s="259">
        <v>0</v>
      </c>
    </row>
    <row r="15" spans="2:27" hidden="1" outlineLevel="1" x14ac:dyDescent="0.25">
      <c r="B15" s="214" t="s">
        <v>168</v>
      </c>
      <c r="C15" s="260">
        <v>78</v>
      </c>
      <c r="D15" s="260">
        <v>-139</v>
      </c>
      <c r="E15" s="260">
        <v>-14</v>
      </c>
      <c r="F15" s="260">
        <v>181</v>
      </c>
      <c r="G15" s="260">
        <v>280</v>
      </c>
      <c r="H15" s="260">
        <v>228</v>
      </c>
    </row>
    <row r="16" spans="2:27" hidden="1" outlineLevel="1" x14ac:dyDescent="0.25">
      <c r="B16" s="212" t="s">
        <v>169</v>
      </c>
      <c r="C16" s="258">
        <f t="shared" ref="C16:F16" si="22">SUM(C11:C15)</f>
        <v>4801</v>
      </c>
      <c r="D16" s="258">
        <f t="shared" si="22"/>
        <v>2887</v>
      </c>
      <c r="E16" s="258">
        <f t="shared" si="22"/>
        <v>6661</v>
      </c>
      <c r="F16" s="258">
        <f t="shared" si="22"/>
        <v>6651</v>
      </c>
      <c r="G16" s="258">
        <f>SUM(G11:G15)</f>
        <v>6201</v>
      </c>
      <c r="H16" s="258">
        <f>SUM(H11:H15)</f>
        <v>6700</v>
      </c>
    </row>
    <row r="17" spans="2:27" hidden="1" outlineLevel="1" x14ac:dyDescent="0.25">
      <c r="B17" s="23"/>
      <c r="C17" s="255"/>
      <c r="D17" s="255"/>
      <c r="E17" s="255"/>
      <c r="F17" s="255"/>
      <c r="G17" s="255"/>
      <c r="H17" s="255"/>
    </row>
    <row r="18" spans="2:27" hidden="1" outlineLevel="1" x14ac:dyDescent="0.25">
      <c r="B18" s="214" t="s">
        <v>170</v>
      </c>
      <c r="C18" s="260">
        <v>-772</v>
      </c>
      <c r="D18" s="260">
        <v>-348</v>
      </c>
      <c r="E18" s="260">
        <v>-934</v>
      </c>
      <c r="F18" s="260">
        <v>-605</v>
      </c>
      <c r="G18" s="260">
        <v>-1131</v>
      </c>
      <c r="H18" s="260">
        <v>-1000</v>
      </c>
      <c r="J18" s="237">
        <f>-C18/(C16-C103)</f>
        <v>0.16029900332225913</v>
      </c>
      <c r="K18" s="237">
        <f t="shared" ref="K18:O18" si="23">-D18/(D16-D103)</f>
        <v>0.10593607305936073</v>
      </c>
      <c r="L18" s="237">
        <f t="shared" si="23"/>
        <v>0.13911230265117663</v>
      </c>
      <c r="M18" s="237">
        <f t="shared" si="23"/>
        <v>8.9312075583111897E-2</v>
      </c>
      <c r="N18" s="237">
        <f t="shared" si="23"/>
        <v>0.17791411042944785</v>
      </c>
      <c r="O18" s="237">
        <f t="shared" si="23"/>
        <v>0.14819205690574985</v>
      </c>
      <c r="P18" s="273">
        <f>AVERAGE(K18:O18)</f>
        <v>0.1320933237257694</v>
      </c>
      <c r="Q18" s="272">
        <f>P18</f>
        <v>0.1320933237257694</v>
      </c>
      <c r="R18" s="272">
        <f t="shared" ref="R18:AA18" si="24">Q18</f>
        <v>0.1320933237257694</v>
      </c>
      <c r="S18" s="272">
        <f t="shared" si="24"/>
        <v>0.1320933237257694</v>
      </c>
      <c r="T18" s="272">
        <f t="shared" si="24"/>
        <v>0.1320933237257694</v>
      </c>
      <c r="U18" s="272">
        <f t="shared" si="24"/>
        <v>0.1320933237257694</v>
      </c>
      <c r="V18" s="272">
        <f t="shared" si="24"/>
        <v>0.1320933237257694</v>
      </c>
      <c r="W18" s="272">
        <f t="shared" si="24"/>
        <v>0.1320933237257694</v>
      </c>
      <c r="X18" s="272">
        <f t="shared" si="24"/>
        <v>0.1320933237257694</v>
      </c>
      <c r="Y18" s="272">
        <f t="shared" si="24"/>
        <v>0.1320933237257694</v>
      </c>
      <c r="Z18" s="272">
        <f t="shared" si="24"/>
        <v>0.1320933237257694</v>
      </c>
      <c r="AA18" s="272">
        <f t="shared" si="24"/>
        <v>0.1320933237257694</v>
      </c>
    </row>
    <row r="19" spans="2:27" hidden="1" outlineLevel="1" x14ac:dyDescent="0.25">
      <c r="B19" s="212" t="s">
        <v>171</v>
      </c>
      <c r="C19" s="258">
        <f t="shared" ref="C19:G19" si="25">SUM(C16:C18)</f>
        <v>4029</v>
      </c>
      <c r="D19" s="258">
        <f t="shared" si="25"/>
        <v>2539</v>
      </c>
      <c r="E19" s="258">
        <f t="shared" si="25"/>
        <v>5727</v>
      </c>
      <c r="F19" s="258">
        <f t="shared" si="25"/>
        <v>6046</v>
      </c>
      <c r="G19" s="258">
        <f t="shared" si="25"/>
        <v>5070</v>
      </c>
      <c r="H19" s="258">
        <f>SUM(H16:H18)</f>
        <v>5700</v>
      </c>
    </row>
    <row r="20" spans="2:27" hidden="1" outlineLevel="1" x14ac:dyDescent="0.25">
      <c r="B20" s="23"/>
      <c r="C20" s="255"/>
      <c r="D20" s="255"/>
      <c r="E20" s="255"/>
      <c r="F20" s="255"/>
      <c r="G20" s="255"/>
      <c r="H20" s="255"/>
    </row>
    <row r="21" spans="2:27" hidden="1" outlineLevel="1" x14ac:dyDescent="0.25">
      <c r="B21" s="214" t="s">
        <v>172</v>
      </c>
      <c r="C21" s="260">
        <v>0</v>
      </c>
      <c r="D21" s="260">
        <v>0</v>
      </c>
      <c r="E21" s="260">
        <v>0</v>
      </c>
      <c r="F21" s="260">
        <v>0</v>
      </c>
      <c r="G21" s="260">
        <v>0</v>
      </c>
      <c r="H21" s="260">
        <v>0</v>
      </c>
    </row>
    <row r="22" spans="2:27" ht="13.8" collapsed="1" thickBot="1" x14ac:dyDescent="0.3">
      <c r="B22" s="215" t="s">
        <v>259</v>
      </c>
      <c r="C22" s="261">
        <f t="shared" ref="C22:G22" si="26">SUM(C19:C21)</f>
        <v>4029</v>
      </c>
      <c r="D22" s="261">
        <f t="shared" si="26"/>
        <v>2539</v>
      </c>
      <c r="E22" s="261">
        <f t="shared" si="26"/>
        <v>5727</v>
      </c>
      <c r="F22" s="261">
        <f>SUM(F19:F21)</f>
        <v>6046</v>
      </c>
      <c r="G22" s="261">
        <f t="shared" si="26"/>
        <v>5070</v>
      </c>
      <c r="H22" s="261">
        <f>SUM(H19:H21)</f>
        <v>5700</v>
      </c>
    </row>
    <row r="23" spans="2:27" ht="13.8" thickTop="1" x14ac:dyDescent="0.25">
      <c r="C23" s="246"/>
      <c r="D23" s="246"/>
      <c r="E23" s="246"/>
      <c r="F23" s="246"/>
      <c r="G23" s="246"/>
      <c r="H23" s="246"/>
    </row>
    <row r="24" spans="2:27" ht="13.8" thickBot="1" x14ac:dyDescent="0.3">
      <c r="B24" s="242" t="s">
        <v>173</v>
      </c>
      <c r="C24" s="240">
        <v>2019</v>
      </c>
      <c r="D24" s="240">
        <v>2020</v>
      </c>
      <c r="E24" s="240">
        <v>2021</v>
      </c>
      <c r="F24" s="240">
        <v>2022</v>
      </c>
      <c r="G24" s="241">
        <v>2023</v>
      </c>
      <c r="H24" s="241">
        <v>2024</v>
      </c>
    </row>
    <row r="25" spans="2:27" ht="13.8" hidden="1" outlineLevel="1" thickTop="1" x14ac:dyDescent="0.25">
      <c r="B25" s="216"/>
      <c r="C25" s="216"/>
      <c r="D25" s="216"/>
      <c r="E25" s="216"/>
      <c r="F25" s="216"/>
      <c r="G25" s="216"/>
      <c r="H25" s="216"/>
    </row>
    <row r="26" spans="2:27" hidden="1" outlineLevel="1" x14ac:dyDescent="0.25">
      <c r="B26" s="218" t="s">
        <v>174</v>
      </c>
      <c r="C26" s="218">
        <v>9812</v>
      </c>
      <c r="D26" s="218">
        <f>C44</f>
        <v>9040</v>
      </c>
      <c r="E26" s="262">
        <f>D44</f>
        <v>8055</v>
      </c>
      <c r="F26" s="218">
        <f>E44</f>
        <v>12767</v>
      </c>
      <c r="G26" s="218">
        <f>F44</f>
        <v>15281</v>
      </c>
      <c r="H26" s="218">
        <f>G44</f>
        <v>14004</v>
      </c>
    </row>
    <row r="27" spans="2:27" hidden="1" outlineLevel="1" x14ac:dyDescent="0.25">
      <c r="B27" s="216"/>
      <c r="C27" s="216"/>
      <c r="D27" s="216"/>
      <c r="E27" s="216"/>
      <c r="F27" s="216"/>
      <c r="G27" s="216"/>
      <c r="H27" s="216"/>
    </row>
    <row r="28" spans="2:27" hidden="1" outlineLevel="1" x14ac:dyDescent="0.25">
      <c r="B28" s="216" t="s">
        <v>175</v>
      </c>
      <c r="C28" s="216">
        <f t="shared" ref="C28:H28" si="27">C22</f>
        <v>4029</v>
      </c>
      <c r="D28" s="216">
        <f t="shared" si="27"/>
        <v>2539</v>
      </c>
      <c r="E28" s="216">
        <f t="shared" si="27"/>
        <v>5727</v>
      </c>
      <c r="F28" s="216">
        <f t="shared" si="27"/>
        <v>6046</v>
      </c>
      <c r="G28" s="216">
        <f t="shared" si="27"/>
        <v>5070</v>
      </c>
      <c r="H28" s="216">
        <f t="shared" si="27"/>
        <v>5700</v>
      </c>
    </row>
    <row r="29" spans="2:27" hidden="1" outlineLevel="1" x14ac:dyDescent="0.25">
      <c r="B29" s="216" t="s">
        <v>176</v>
      </c>
      <c r="C29" s="216">
        <v>-173</v>
      </c>
      <c r="D29" s="216">
        <v>-148</v>
      </c>
      <c r="E29" s="216">
        <v>496</v>
      </c>
      <c r="F29" s="216">
        <v>-522</v>
      </c>
      <c r="G29" s="216">
        <v>267</v>
      </c>
      <c r="H29" s="216">
        <v>-3</v>
      </c>
    </row>
    <row r="30" spans="2:27" hidden="1" outlineLevel="1" x14ac:dyDescent="0.25">
      <c r="B30" s="216" t="s">
        <v>177</v>
      </c>
      <c r="C30" s="216">
        <v>503</v>
      </c>
      <c r="D30" s="216">
        <v>-130</v>
      </c>
      <c r="E30" s="216">
        <v>-825</v>
      </c>
      <c r="F30" s="216">
        <v>1214</v>
      </c>
      <c r="G30" s="216">
        <v>-348</v>
      </c>
      <c r="H30" s="216">
        <v>-184</v>
      </c>
    </row>
    <row r="31" spans="2:27" hidden="1" outlineLevel="1" x14ac:dyDescent="0.25">
      <c r="B31" s="217" t="s">
        <v>178</v>
      </c>
      <c r="C31" s="217">
        <v>-7</v>
      </c>
      <c r="D31" s="217">
        <v>-9</v>
      </c>
      <c r="E31" s="217">
        <v>5</v>
      </c>
      <c r="F31" s="217">
        <v>6</v>
      </c>
      <c r="G31" s="217">
        <v>-6</v>
      </c>
      <c r="H31" s="217">
        <v>9</v>
      </c>
    </row>
    <row r="32" spans="2:27" hidden="1" outlineLevel="1" x14ac:dyDescent="0.25">
      <c r="B32" s="216" t="s">
        <v>179</v>
      </c>
      <c r="C32" s="216">
        <f t="shared" ref="C32:D32" si="28">SUM(C29:C31)</f>
        <v>323</v>
      </c>
      <c r="D32" s="216">
        <f t="shared" si="28"/>
        <v>-287</v>
      </c>
      <c r="E32" s="216">
        <f>SUM(E29:E31)</f>
        <v>-324</v>
      </c>
      <c r="F32" s="216">
        <f>SUM(F29:F31)</f>
        <v>698</v>
      </c>
      <c r="G32" s="216">
        <f>SUM(G29:G31)</f>
        <v>-87</v>
      </c>
      <c r="H32" s="216">
        <f t="shared" ref="H32" si="29">SUM(H29:H31)</f>
        <v>-178</v>
      </c>
      <c r="J32" s="216">
        <v>0</v>
      </c>
    </row>
    <row r="33" spans="2:27" hidden="1" outlineLevel="1" x14ac:dyDescent="0.25">
      <c r="B33" s="216"/>
      <c r="C33" s="216"/>
      <c r="D33" s="216"/>
      <c r="E33" s="216"/>
      <c r="F33" s="216"/>
      <c r="G33" s="216"/>
      <c r="H33" s="216"/>
    </row>
    <row r="34" spans="2:27" ht="13.8" hidden="1" outlineLevel="1" thickBot="1" x14ac:dyDescent="0.3">
      <c r="B34" s="219" t="s">
        <v>180</v>
      </c>
      <c r="C34" s="219">
        <f>C32+C28</f>
        <v>4352</v>
      </c>
      <c r="D34" s="219">
        <f t="shared" ref="D34:G34" si="30">D32+D28</f>
        <v>2252</v>
      </c>
      <c r="E34" s="219">
        <f t="shared" si="30"/>
        <v>5403</v>
      </c>
      <c r="F34" s="219">
        <f t="shared" si="30"/>
        <v>6744</v>
      </c>
      <c r="G34" s="219">
        <f t="shared" si="30"/>
        <v>4983</v>
      </c>
      <c r="H34" s="219">
        <f>H32+H28</f>
        <v>5522</v>
      </c>
    </row>
    <row r="35" spans="2:27" ht="13.8" hidden="1" outlineLevel="1" thickTop="1" x14ac:dyDescent="0.25">
      <c r="B35" s="216"/>
      <c r="C35" s="216"/>
      <c r="D35" s="216"/>
      <c r="E35" s="216"/>
      <c r="F35" s="216"/>
      <c r="G35" s="216"/>
      <c r="H35" s="216"/>
    </row>
    <row r="36" spans="2:27" hidden="1" outlineLevel="1" x14ac:dyDescent="0.25">
      <c r="B36" s="216" t="s">
        <v>181</v>
      </c>
      <c r="C36" s="216">
        <v>325</v>
      </c>
      <c r="D36" s="216">
        <v>429</v>
      </c>
      <c r="E36" s="216">
        <v>611</v>
      </c>
      <c r="F36" s="216">
        <v>638</v>
      </c>
      <c r="G36" s="216">
        <v>755</v>
      </c>
      <c r="H36" s="216">
        <v>804</v>
      </c>
    </row>
    <row r="37" spans="2:27" hidden="1" outlineLevel="1" x14ac:dyDescent="0.25">
      <c r="B37" s="216" t="s">
        <v>182</v>
      </c>
      <c r="C37" s="216">
        <v>0</v>
      </c>
      <c r="D37" s="216">
        <v>0</v>
      </c>
      <c r="E37" s="216">
        <v>0</v>
      </c>
      <c r="F37" s="216">
        <v>0</v>
      </c>
      <c r="G37" s="216">
        <v>0</v>
      </c>
      <c r="H37" s="216">
        <v>0</v>
      </c>
    </row>
    <row r="38" spans="2:27" hidden="1" outlineLevel="1" x14ac:dyDescent="0.25">
      <c r="B38" s="216" t="s">
        <v>183</v>
      </c>
      <c r="C38" s="216">
        <v>539</v>
      </c>
      <c r="D38" s="216">
        <v>703</v>
      </c>
      <c r="E38" s="216">
        <v>954</v>
      </c>
      <c r="F38" s="216">
        <v>924</v>
      </c>
      <c r="G38" s="216">
        <v>421</v>
      </c>
      <c r="H38" s="216">
        <v>432</v>
      </c>
    </row>
    <row r="39" spans="2:27" hidden="1" outlineLevel="1" x14ac:dyDescent="0.25">
      <c r="B39" s="216" t="s">
        <v>184</v>
      </c>
      <c r="C39" s="216">
        <v>139</v>
      </c>
      <c r="D39" s="216">
        <v>156</v>
      </c>
      <c r="E39" s="216">
        <v>86</v>
      </c>
      <c r="F39" s="216">
        <v>88</v>
      </c>
      <c r="G39" s="216">
        <v>132</v>
      </c>
      <c r="H39" s="216">
        <v>125</v>
      </c>
    </row>
    <row r="40" spans="2:27" hidden="1" outlineLevel="1" x14ac:dyDescent="0.25">
      <c r="B40" s="216" t="s">
        <v>185</v>
      </c>
      <c r="C40" s="216">
        <v>-4283</v>
      </c>
      <c r="D40" s="216">
        <v>-3033</v>
      </c>
      <c r="E40" s="216">
        <v>-650</v>
      </c>
      <c r="F40" s="216">
        <v>-3994</v>
      </c>
      <c r="G40" s="216">
        <v>-5509</v>
      </c>
      <c r="H40" s="216">
        <v>-4254</v>
      </c>
    </row>
    <row r="41" spans="2:27" hidden="1" outlineLevel="1" x14ac:dyDescent="0.25">
      <c r="B41" s="216" t="s">
        <v>186</v>
      </c>
      <c r="C41" s="216">
        <v>-1360</v>
      </c>
      <c r="D41" s="216">
        <v>-1491</v>
      </c>
      <c r="E41" s="216">
        <v>-1692</v>
      </c>
      <c r="F41" s="216">
        <v>-1886</v>
      </c>
      <c r="G41" s="216">
        <v>-2059</v>
      </c>
      <c r="H41" s="216">
        <v>-2203</v>
      </c>
    </row>
    <row r="42" spans="2:27" hidden="1" outlineLevel="1" x14ac:dyDescent="0.25">
      <c r="B42" s="216" t="s">
        <v>187</v>
      </c>
      <c r="C42" s="216">
        <f>-507+23</f>
        <v>-484</v>
      </c>
      <c r="D42" s="216">
        <v>-1</v>
      </c>
      <c r="E42" s="216">
        <v>0</v>
      </c>
      <c r="F42" s="216">
        <v>0</v>
      </c>
      <c r="G42" s="216">
        <v>0</v>
      </c>
      <c r="H42" s="216">
        <v>0</v>
      </c>
    </row>
    <row r="43" spans="2:27" hidden="1" outlineLevel="1" x14ac:dyDescent="0.25">
      <c r="B43" s="216" t="s">
        <v>188</v>
      </c>
      <c r="C43" s="216">
        <v>0</v>
      </c>
      <c r="D43" s="216">
        <v>0</v>
      </c>
      <c r="E43" s="216">
        <v>0</v>
      </c>
      <c r="F43" s="216">
        <v>0</v>
      </c>
      <c r="G43" s="216">
        <v>0</v>
      </c>
      <c r="H43" s="216">
        <v>0</v>
      </c>
    </row>
    <row r="44" spans="2:27" ht="14.4" collapsed="1" thickTop="1" thickBot="1" x14ac:dyDescent="0.3">
      <c r="B44" s="219" t="s">
        <v>189</v>
      </c>
      <c r="C44" s="261">
        <f t="shared" ref="C44:H44" si="31">SUM(C34:C43)+C26</f>
        <v>9040</v>
      </c>
      <c r="D44" s="261">
        <f t="shared" si="31"/>
        <v>8055</v>
      </c>
      <c r="E44" s="261">
        <f t="shared" si="31"/>
        <v>12767</v>
      </c>
      <c r="F44" s="261">
        <f t="shared" si="31"/>
        <v>15281</v>
      </c>
      <c r="G44" s="261">
        <f t="shared" si="31"/>
        <v>14004</v>
      </c>
      <c r="H44" s="261">
        <f t="shared" si="31"/>
        <v>14430</v>
      </c>
    </row>
    <row r="45" spans="2:27" ht="13.8" thickTop="1" x14ac:dyDescent="0.25"/>
    <row r="46" spans="2:27" ht="13.8" thickBot="1" x14ac:dyDescent="0.3">
      <c r="B46" s="242" t="s">
        <v>14</v>
      </c>
      <c r="C46" s="240">
        <v>2019</v>
      </c>
      <c r="D46" s="240">
        <v>2020</v>
      </c>
      <c r="E46" s="240">
        <v>2021</v>
      </c>
      <c r="F46" s="240">
        <v>2022</v>
      </c>
      <c r="G46" s="241">
        <v>2023</v>
      </c>
      <c r="H46" s="241">
        <v>2024</v>
      </c>
      <c r="J46" s="312">
        <f>C46</f>
        <v>2019</v>
      </c>
      <c r="K46" s="312">
        <f t="shared" ref="K46:O46" si="32">D46</f>
        <v>2020</v>
      </c>
      <c r="L46" s="312">
        <f t="shared" si="32"/>
        <v>2021</v>
      </c>
      <c r="M46" s="312">
        <f t="shared" si="32"/>
        <v>2022</v>
      </c>
      <c r="N46" s="312">
        <f t="shared" si="32"/>
        <v>2023</v>
      </c>
      <c r="O46" s="312">
        <f t="shared" si="32"/>
        <v>2024</v>
      </c>
      <c r="P46" s="312">
        <f>O46+1</f>
        <v>2025</v>
      </c>
      <c r="Q46" s="312">
        <f t="shared" ref="Q46:AA46" si="33">P46+1</f>
        <v>2026</v>
      </c>
      <c r="R46" s="312">
        <f t="shared" si="33"/>
        <v>2027</v>
      </c>
      <c r="S46" s="312">
        <f t="shared" si="33"/>
        <v>2028</v>
      </c>
      <c r="T46" s="312">
        <f t="shared" si="33"/>
        <v>2029</v>
      </c>
      <c r="U46" s="312">
        <f t="shared" si="33"/>
        <v>2030</v>
      </c>
      <c r="V46" s="312">
        <f t="shared" si="33"/>
        <v>2031</v>
      </c>
      <c r="W46" s="312">
        <f t="shared" si="33"/>
        <v>2032</v>
      </c>
      <c r="X46" s="312">
        <f t="shared" si="33"/>
        <v>2033</v>
      </c>
      <c r="Y46" s="312">
        <f t="shared" si="33"/>
        <v>2034</v>
      </c>
      <c r="Z46" s="312">
        <f t="shared" si="33"/>
        <v>2035</v>
      </c>
      <c r="AA46" s="312">
        <f t="shared" si="33"/>
        <v>2036</v>
      </c>
    </row>
    <row r="47" spans="2:27" ht="13.8" outlineLevel="1" thickTop="1" x14ac:dyDescent="0.25">
      <c r="B47" s="7" t="s">
        <v>149</v>
      </c>
      <c r="C47" s="247"/>
      <c r="D47" s="247"/>
      <c r="E47" s="247"/>
      <c r="F47" s="247"/>
      <c r="G47" s="247"/>
      <c r="H47" s="247"/>
    </row>
    <row r="48" spans="2:27" outlineLevel="1" x14ac:dyDescent="0.25">
      <c r="B48" s="5" t="s">
        <v>190</v>
      </c>
      <c r="C48" s="248">
        <v>4466</v>
      </c>
      <c r="D48" s="248">
        <v>8348</v>
      </c>
      <c r="E48" s="248">
        <v>9889</v>
      </c>
      <c r="F48" s="248">
        <v>8574</v>
      </c>
      <c r="G48" s="248">
        <v>7441</v>
      </c>
      <c r="H48" s="248">
        <v>9860</v>
      </c>
    </row>
    <row r="49" spans="1:27" outlineLevel="1" x14ac:dyDescent="0.25">
      <c r="B49" s="5" t="s">
        <v>191</v>
      </c>
      <c r="C49" s="248">
        <v>197</v>
      </c>
      <c r="D49" s="248">
        <v>439</v>
      </c>
      <c r="E49" s="248">
        <v>3587</v>
      </c>
      <c r="F49" s="248">
        <v>4423</v>
      </c>
      <c r="G49" s="248">
        <v>3234</v>
      </c>
      <c r="H49" s="248">
        <v>1722</v>
      </c>
    </row>
    <row r="50" spans="1:27" outlineLevel="1" x14ac:dyDescent="0.25">
      <c r="B50" s="5" t="s">
        <v>192</v>
      </c>
      <c r="C50" s="248">
        <v>4272</v>
      </c>
      <c r="D50" s="248">
        <v>2749</v>
      </c>
      <c r="E50" s="248">
        <v>4463</v>
      </c>
      <c r="F50" s="248">
        <v>4667</v>
      </c>
      <c r="G50" s="248">
        <v>4131</v>
      </c>
      <c r="H50" s="248">
        <v>4427</v>
      </c>
      <c r="J50" s="280">
        <f t="shared" ref="J50:O50" si="34">C50/C6</f>
        <v>0.10921082905130762</v>
      </c>
      <c r="K50" s="280">
        <f t="shared" si="34"/>
        <v>7.349677833328877E-2</v>
      </c>
      <c r="L50" s="280">
        <f t="shared" si="34"/>
        <v>0.10020656518029548</v>
      </c>
      <c r="M50" s="280">
        <f t="shared" si="34"/>
        <v>9.9914365232284308E-2</v>
      </c>
      <c r="N50" s="280">
        <f t="shared" si="34"/>
        <v>8.0656813167502978E-2</v>
      </c>
      <c r="O50" s="280">
        <f t="shared" si="34"/>
        <v>8.6192126474825742E-2</v>
      </c>
      <c r="P50" s="281">
        <f>AVERAGE(J50:O50)</f>
        <v>9.1612912906584146E-2</v>
      </c>
      <c r="Q50" s="281">
        <f>P50</f>
        <v>9.1612912906584146E-2</v>
      </c>
      <c r="R50" s="281">
        <f t="shared" ref="R50:AA51" si="35">Q50</f>
        <v>9.1612912906584146E-2</v>
      </c>
      <c r="S50" s="281">
        <f t="shared" si="35"/>
        <v>9.1612912906584146E-2</v>
      </c>
      <c r="T50" s="281">
        <f t="shared" si="35"/>
        <v>9.1612912906584146E-2</v>
      </c>
      <c r="U50" s="281">
        <f t="shared" si="35"/>
        <v>9.1612912906584146E-2</v>
      </c>
      <c r="V50" s="281">
        <f t="shared" si="35"/>
        <v>9.1612912906584146E-2</v>
      </c>
      <c r="W50" s="281">
        <f t="shared" si="35"/>
        <v>9.1612912906584146E-2</v>
      </c>
      <c r="X50" s="281">
        <f t="shared" si="35"/>
        <v>9.1612912906584146E-2</v>
      </c>
      <c r="Y50" s="281">
        <f t="shared" si="35"/>
        <v>9.1612912906584146E-2</v>
      </c>
      <c r="Z50" s="281">
        <f t="shared" si="35"/>
        <v>9.1612912906584146E-2</v>
      </c>
      <c r="AA50" s="281">
        <f t="shared" si="35"/>
        <v>9.1612912906584146E-2</v>
      </c>
    </row>
    <row r="51" spans="1:27" outlineLevel="1" x14ac:dyDescent="0.25">
      <c r="B51" s="5" t="s">
        <v>193</v>
      </c>
      <c r="C51" s="248">
        <v>5622</v>
      </c>
      <c r="D51" s="248">
        <v>7367</v>
      </c>
      <c r="E51" s="248">
        <v>6854</v>
      </c>
      <c r="F51" s="248">
        <v>8420</v>
      </c>
      <c r="G51" s="248">
        <v>8454</v>
      </c>
      <c r="H51" s="248">
        <v>7519</v>
      </c>
      <c r="J51" s="280">
        <f t="shared" ref="J51:O51" si="36">(-C51)/C8</f>
        <v>0.2597606616457977</v>
      </c>
      <c r="K51" s="280">
        <f t="shared" si="36"/>
        <v>0.34812399584160286</v>
      </c>
      <c r="L51" s="280">
        <f t="shared" si="36"/>
        <v>0.27888997395833331</v>
      </c>
      <c r="M51" s="280">
        <f t="shared" si="36"/>
        <v>0.33371645991042764</v>
      </c>
      <c r="N51" s="280">
        <f t="shared" si="36"/>
        <v>0.29227312013828866</v>
      </c>
      <c r="O51" s="280">
        <f t="shared" si="36"/>
        <v>0.26405618964003513</v>
      </c>
      <c r="P51" s="281">
        <f>AVERAGE(J51:O51)</f>
        <v>0.29613673352241421</v>
      </c>
      <c r="Q51" s="281">
        <f>P51</f>
        <v>0.29613673352241421</v>
      </c>
      <c r="R51" s="281">
        <f t="shared" si="35"/>
        <v>0.29613673352241421</v>
      </c>
      <c r="S51" s="281">
        <f t="shared" si="35"/>
        <v>0.29613673352241421</v>
      </c>
      <c r="T51" s="281">
        <f t="shared" si="35"/>
        <v>0.29613673352241421</v>
      </c>
      <c r="U51" s="281">
        <f t="shared" si="35"/>
        <v>0.29613673352241421</v>
      </c>
      <c r="V51" s="281">
        <f t="shared" si="35"/>
        <v>0.29613673352241421</v>
      </c>
      <c r="W51" s="281">
        <f t="shared" si="35"/>
        <v>0.29613673352241421</v>
      </c>
      <c r="X51" s="281">
        <f t="shared" si="35"/>
        <v>0.29613673352241421</v>
      </c>
      <c r="Y51" s="281">
        <f t="shared" si="35"/>
        <v>0.29613673352241421</v>
      </c>
      <c r="Z51" s="281">
        <f t="shared" si="35"/>
        <v>0.29613673352241421</v>
      </c>
      <c r="AA51" s="281">
        <f t="shared" si="35"/>
        <v>0.29613673352241421</v>
      </c>
    </row>
    <row r="52" spans="1:27" outlineLevel="1" x14ac:dyDescent="0.25">
      <c r="B52" s="5" t="s">
        <v>194</v>
      </c>
      <c r="C52" s="248">
        <v>1968</v>
      </c>
      <c r="D52" s="248">
        <v>1653</v>
      </c>
      <c r="E52" s="248">
        <v>1498</v>
      </c>
      <c r="F52" s="248">
        <v>2129</v>
      </c>
      <c r="G52" s="248">
        <v>1942</v>
      </c>
      <c r="H52" s="248">
        <v>1854</v>
      </c>
      <c r="J52" s="280">
        <f t="shared" ref="J52:O52" si="37">(-C52)/C8</f>
        <v>9.093009287067412E-2</v>
      </c>
      <c r="K52" s="280">
        <f t="shared" si="37"/>
        <v>7.8111709668273327E-2</v>
      </c>
      <c r="L52" s="280">
        <f t="shared" si="37"/>
        <v>6.0953776041666664E-2</v>
      </c>
      <c r="M52" s="280">
        <f t="shared" si="37"/>
        <v>8.4380325789703142E-2</v>
      </c>
      <c r="N52" s="280">
        <f t="shared" si="37"/>
        <v>6.7139152981849609E-2</v>
      </c>
      <c r="O52" s="280">
        <f t="shared" si="37"/>
        <v>6.5109745390693585E-2</v>
      </c>
      <c r="P52" s="281">
        <f>AVERAGE(J52:O52)</f>
        <v>7.4437467123810067E-2</v>
      </c>
      <c r="Q52" s="281">
        <f>P52</f>
        <v>7.4437467123810067E-2</v>
      </c>
      <c r="R52" s="281">
        <f t="shared" ref="R52" si="38">Q52</f>
        <v>7.4437467123810067E-2</v>
      </c>
      <c r="S52" s="281">
        <f t="shared" ref="S52" si="39">R52</f>
        <v>7.4437467123810067E-2</v>
      </c>
      <c r="T52" s="281">
        <f t="shared" ref="T52" si="40">S52</f>
        <v>7.4437467123810067E-2</v>
      </c>
      <c r="U52" s="281">
        <f t="shared" ref="U52" si="41">T52</f>
        <v>7.4437467123810067E-2</v>
      </c>
      <c r="V52" s="281">
        <f t="shared" ref="V52" si="42">U52</f>
        <v>7.4437467123810067E-2</v>
      </c>
      <c r="W52" s="281">
        <f t="shared" ref="W52" si="43">V52</f>
        <v>7.4437467123810067E-2</v>
      </c>
      <c r="X52" s="281">
        <f t="shared" ref="X52" si="44">W52</f>
        <v>7.4437467123810067E-2</v>
      </c>
      <c r="Y52" s="281">
        <f t="shared" ref="Y52" si="45">X52</f>
        <v>7.4437467123810067E-2</v>
      </c>
      <c r="Z52" s="281">
        <f t="shared" ref="Z52" si="46">Y52</f>
        <v>7.4437467123810067E-2</v>
      </c>
      <c r="AA52" s="281">
        <f t="shared" ref="AA52" si="47">Z52</f>
        <v>7.4437467123810067E-2</v>
      </c>
    </row>
    <row r="53" spans="1:27" outlineLevel="1" x14ac:dyDescent="0.25">
      <c r="B53" s="220" t="s">
        <v>195</v>
      </c>
      <c r="C53" s="249">
        <f t="shared" ref="C53:H53" si="48">SUM(C48:C52)</f>
        <v>16525</v>
      </c>
      <c r="D53" s="249">
        <f t="shared" si="48"/>
        <v>20556</v>
      </c>
      <c r="E53" s="249">
        <f t="shared" si="48"/>
        <v>26291</v>
      </c>
      <c r="F53" s="249">
        <f t="shared" si="48"/>
        <v>28213</v>
      </c>
      <c r="G53" s="249">
        <f t="shared" si="48"/>
        <v>25202</v>
      </c>
      <c r="H53" s="249">
        <f t="shared" si="48"/>
        <v>25382</v>
      </c>
    </row>
    <row r="54" spans="1:27" outlineLevel="1" x14ac:dyDescent="0.25">
      <c r="B54" s="5"/>
      <c r="C54" s="248"/>
      <c r="D54" s="248"/>
      <c r="E54" s="248"/>
      <c r="F54" s="248"/>
      <c r="G54" s="248"/>
      <c r="H54" s="248"/>
    </row>
    <row r="55" spans="1:27" outlineLevel="1" x14ac:dyDescent="0.25">
      <c r="B55" s="5" t="s">
        <v>196</v>
      </c>
      <c r="C55" s="248">
        <v>4744</v>
      </c>
      <c r="D55" s="248">
        <v>4866</v>
      </c>
      <c r="E55" s="248">
        <v>4904</v>
      </c>
      <c r="F55" s="248">
        <v>4791</v>
      </c>
      <c r="G55" s="248">
        <v>5081</v>
      </c>
      <c r="H55" s="248">
        <v>5000</v>
      </c>
    </row>
    <row r="56" spans="1:27" outlineLevel="1" x14ac:dyDescent="0.25">
      <c r="B56" s="316" t="s">
        <v>197</v>
      </c>
      <c r="C56" s="248">
        <v>0</v>
      </c>
      <c r="D56" s="248">
        <v>3097</v>
      </c>
      <c r="E56" s="248">
        <v>3113</v>
      </c>
      <c r="F56" s="248">
        <v>2926</v>
      </c>
      <c r="G56" s="248">
        <v>2923</v>
      </c>
      <c r="H56" s="248">
        <v>2718</v>
      </c>
      <c r="J56" s="280">
        <f t="shared" ref="J56:O56" si="49">(C56)/C6</f>
        <v>0</v>
      </c>
      <c r="K56" s="280">
        <f t="shared" si="49"/>
        <v>8.2800844852017219E-2</v>
      </c>
      <c r="L56" s="280">
        <f t="shared" si="49"/>
        <v>6.9895370245632943E-2</v>
      </c>
      <c r="M56" s="280">
        <f t="shared" si="49"/>
        <v>6.2641832584029111E-2</v>
      </c>
      <c r="N56" s="280">
        <f t="shared" si="49"/>
        <v>5.7070894429583928E-2</v>
      </c>
      <c r="O56" s="280">
        <f t="shared" si="49"/>
        <v>5.2918500058408938E-2</v>
      </c>
      <c r="P56" s="281">
        <f>AVERAGE(K56:O56)</f>
        <v>6.5065488433934421E-2</v>
      </c>
      <c r="Q56" s="281">
        <f>P56</f>
        <v>6.5065488433934421E-2</v>
      </c>
      <c r="R56" s="281">
        <f t="shared" ref="R56" si="50">Q56</f>
        <v>6.5065488433934421E-2</v>
      </c>
      <c r="S56" s="281">
        <f t="shared" ref="S56" si="51">R56</f>
        <v>6.5065488433934421E-2</v>
      </c>
      <c r="T56" s="281">
        <f t="shared" ref="T56" si="52">S56</f>
        <v>6.5065488433934421E-2</v>
      </c>
      <c r="U56" s="281">
        <f t="shared" ref="U56" si="53">T56</f>
        <v>6.5065488433934421E-2</v>
      </c>
      <c r="V56" s="281">
        <f t="shared" ref="V56" si="54">U56</f>
        <v>6.5065488433934421E-2</v>
      </c>
      <c r="W56" s="281">
        <f t="shared" ref="W56" si="55">V56</f>
        <v>6.5065488433934421E-2</v>
      </c>
      <c r="X56" s="281">
        <f t="shared" ref="X56" si="56">W56</f>
        <v>6.5065488433934421E-2</v>
      </c>
      <c r="Y56" s="281">
        <f t="shared" ref="Y56" si="57">X56</f>
        <v>6.5065488433934421E-2</v>
      </c>
      <c r="Z56" s="281">
        <f t="shared" ref="Z56" si="58">Y56</f>
        <v>6.5065488433934421E-2</v>
      </c>
      <c r="AA56" s="281">
        <f t="shared" ref="AA56" si="59">Z56</f>
        <v>6.5065488433934421E-2</v>
      </c>
    </row>
    <row r="57" spans="1:27" outlineLevel="1" x14ac:dyDescent="0.25">
      <c r="B57" s="5" t="s">
        <v>198</v>
      </c>
      <c r="C57" s="248">
        <v>283</v>
      </c>
      <c r="D57" s="248">
        <v>274</v>
      </c>
      <c r="E57" s="248">
        <v>269</v>
      </c>
      <c r="F57" s="248">
        <v>286</v>
      </c>
      <c r="G57" s="248">
        <v>274</v>
      </c>
      <c r="H57" s="248">
        <v>259</v>
      </c>
    </row>
    <row r="58" spans="1:27" outlineLevel="1" x14ac:dyDescent="0.25">
      <c r="B58" s="5" t="s">
        <v>199</v>
      </c>
      <c r="C58" s="248">
        <v>154</v>
      </c>
      <c r="D58" s="248">
        <v>223</v>
      </c>
      <c r="E58" s="248">
        <v>242</v>
      </c>
      <c r="F58" s="248">
        <v>284</v>
      </c>
      <c r="G58" s="248">
        <v>281</v>
      </c>
      <c r="H58" s="248">
        <v>240</v>
      </c>
    </row>
    <row r="59" spans="1:27" outlineLevel="1" x14ac:dyDescent="0.25">
      <c r="B59" s="5" t="s">
        <v>200</v>
      </c>
      <c r="C59" s="248">
        <v>2011</v>
      </c>
      <c r="D59" s="248">
        <v>2326</v>
      </c>
      <c r="E59" s="248">
        <v>2921</v>
      </c>
      <c r="F59" s="248">
        <v>3821</v>
      </c>
      <c r="G59" s="248">
        <v>3770</v>
      </c>
      <c r="H59" s="248">
        <v>4511</v>
      </c>
      <c r="J59" s="280">
        <f t="shared" ref="J59:O59" si="60">(C59)/C6</f>
        <v>5.1409872945266763E-2</v>
      </c>
      <c r="K59" s="280">
        <f t="shared" si="60"/>
        <v>6.2187525064834374E-2</v>
      </c>
      <c r="L59" s="280">
        <f t="shared" si="60"/>
        <v>6.5584444743814266E-2</v>
      </c>
      <c r="M59" s="280">
        <f t="shared" si="60"/>
        <v>8.1802611860415334E-2</v>
      </c>
      <c r="N59" s="280">
        <f t="shared" si="60"/>
        <v>7.3608372220161269E-2</v>
      </c>
      <c r="O59" s="280">
        <f t="shared" si="60"/>
        <v>8.7827576807756713E-2</v>
      </c>
      <c r="P59" s="281">
        <f>AVERAGE(K59:O59)</f>
        <v>7.4202106139396387E-2</v>
      </c>
      <c r="Q59" s="281">
        <f>P59</f>
        <v>7.4202106139396387E-2</v>
      </c>
      <c r="R59" s="281">
        <f t="shared" ref="R59" si="61">Q59</f>
        <v>7.4202106139396387E-2</v>
      </c>
      <c r="S59" s="281">
        <f t="shared" ref="S59" si="62">R59</f>
        <v>7.4202106139396387E-2</v>
      </c>
      <c r="T59" s="281">
        <f t="shared" ref="T59" si="63">S59</f>
        <v>7.4202106139396387E-2</v>
      </c>
      <c r="U59" s="281">
        <f t="shared" ref="U59" si="64">T59</f>
        <v>7.4202106139396387E-2</v>
      </c>
      <c r="V59" s="281">
        <f t="shared" ref="V59" si="65">U59</f>
        <v>7.4202106139396387E-2</v>
      </c>
      <c r="W59" s="281">
        <f t="shared" ref="W59" si="66">V59</f>
        <v>7.4202106139396387E-2</v>
      </c>
      <c r="X59" s="281">
        <f t="shared" ref="X59" si="67">W59</f>
        <v>7.4202106139396387E-2</v>
      </c>
      <c r="Y59" s="281">
        <f t="shared" ref="Y59" si="68">X59</f>
        <v>7.4202106139396387E-2</v>
      </c>
      <c r="Z59" s="281">
        <f t="shared" ref="Z59" si="69">Y59</f>
        <v>7.4202106139396387E-2</v>
      </c>
      <c r="AA59" s="281">
        <f t="shared" ref="AA59" si="70">Z59</f>
        <v>7.4202106139396387E-2</v>
      </c>
    </row>
    <row r="60" spans="1:27" outlineLevel="1" x14ac:dyDescent="0.25">
      <c r="B60" s="220" t="s">
        <v>201</v>
      </c>
      <c r="C60" s="249">
        <f t="shared" ref="C60:H60" si="71">SUM(C53:C59)</f>
        <v>23717</v>
      </c>
      <c r="D60" s="249">
        <f t="shared" si="71"/>
        <v>31342</v>
      </c>
      <c r="E60" s="249">
        <f t="shared" si="71"/>
        <v>37740</v>
      </c>
      <c r="F60" s="249">
        <f t="shared" si="71"/>
        <v>40321</v>
      </c>
      <c r="G60" s="249">
        <f t="shared" si="71"/>
        <v>37531</v>
      </c>
      <c r="H60" s="249">
        <f t="shared" si="71"/>
        <v>38110</v>
      </c>
    </row>
    <row r="61" spans="1:27" outlineLevel="1" x14ac:dyDescent="0.25">
      <c r="B61" s="5"/>
      <c r="C61" s="248"/>
      <c r="D61" s="248"/>
      <c r="E61" s="248"/>
      <c r="F61" s="248"/>
      <c r="G61" s="248"/>
      <c r="H61" s="248"/>
    </row>
    <row r="62" spans="1:27" outlineLevel="1" x14ac:dyDescent="0.25">
      <c r="B62" s="7" t="s">
        <v>202</v>
      </c>
      <c r="C62" s="6"/>
      <c r="D62" s="6"/>
      <c r="E62" s="6"/>
      <c r="F62" s="6"/>
      <c r="G62" s="6"/>
      <c r="H62" s="6"/>
    </row>
    <row r="63" spans="1:27" outlineLevel="1" x14ac:dyDescent="0.25">
      <c r="A63" s="211">
        <v>2</v>
      </c>
      <c r="B63" s="13" t="s">
        <v>203</v>
      </c>
      <c r="C63" s="248">
        <v>2612</v>
      </c>
      <c r="D63" s="248">
        <v>2248</v>
      </c>
      <c r="E63" s="248">
        <v>2836</v>
      </c>
      <c r="F63" s="248">
        <v>3358</v>
      </c>
      <c r="G63" s="248">
        <v>2862</v>
      </c>
      <c r="H63" s="320">
        <v>2851</v>
      </c>
      <c r="J63" s="280">
        <f>-(C63+C65)/C8</f>
        <v>0.35216929261192997</v>
      </c>
      <c r="K63" s="280">
        <f t="shared" ref="K63:O63" si="72">-(D63+D65)/D8</f>
        <v>0.3511955391739911</v>
      </c>
      <c r="L63" s="280">
        <f t="shared" si="72"/>
        <v>0.36210123697916669</v>
      </c>
      <c r="M63" s="280">
        <f t="shared" si="72"/>
        <v>0.37961238159407079</v>
      </c>
      <c r="N63" s="280">
        <f t="shared" si="72"/>
        <v>0.2968020743301642</v>
      </c>
      <c r="O63" s="280">
        <f t="shared" si="72"/>
        <v>0.30117647058823527</v>
      </c>
      <c r="P63" s="281">
        <f>AVERAGE(K63:O63)</f>
        <v>0.3381775405331256</v>
      </c>
      <c r="Q63" s="281">
        <f>P63</f>
        <v>0.3381775405331256</v>
      </c>
      <c r="R63" s="281">
        <f t="shared" ref="R63" si="73">Q63</f>
        <v>0.3381775405331256</v>
      </c>
      <c r="S63" s="281">
        <f t="shared" ref="S63" si="74">R63</f>
        <v>0.3381775405331256</v>
      </c>
      <c r="T63" s="281">
        <f t="shared" ref="T63" si="75">S63</f>
        <v>0.3381775405331256</v>
      </c>
      <c r="U63" s="281">
        <f t="shared" ref="U63" si="76">T63</f>
        <v>0.3381775405331256</v>
      </c>
      <c r="V63" s="281">
        <f t="shared" ref="V63" si="77">U63</f>
        <v>0.3381775405331256</v>
      </c>
      <c r="W63" s="281">
        <f t="shared" ref="W63" si="78">V63</f>
        <v>0.3381775405331256</v>
      </c>
      <c r="X63" s="281">
        <f t="shared" ref="X63" si="79">W63</f>
        <v>0.3381775405331256</v>
      </c>
      <c r="Y63" s="281">
        <f t="shared" ref="Y63" si="80">X63</f>
        <v>0.3381775405331256</v>
      </c>
      <c r="Z63" s="281">
        <f t="shared" ref="Z63" si="81">Y63</f>
        <v>0.3381775405331256</v>
      </c>
      <c r="AA63" s="281">
        <f t="shared" ref="AA63" si="82">Z63</f>
        <v>0.3381775405331256</v>
      </c>
    </row>
    <row r="64" spans="1:27" outlineLevel="1" x14ac:dyDescent="0.25">
      <c r="A64" s="211">
        <v>1</v>
      </c>
      <c r="B64" s="13" t="s">
        <v>204</v>
      </c>
      <c r="C64" s="248">
        <v>9</v>
      </c>
      <c r="D64" s="248">
        <v>248</v>
      </c>
      <c r="E64" s="248">
        <v>2</v>
      </c>
      <c r="F64" s="248">
        <v>10</v>
      </c>
      <c r="G64" s="248">
        <v>6</v>
      </c>
      <c r="H64" s="320">
        <v>6</v>
      </c>
      <c r="J64" s="280">
        <f>(C64+C67)/C6</f>
        <v>3.8346498964644528E-4</v>
      </c>
      <c r="K64" s="280">
        <f t="shared" ref="K64:O64" si="83">(D64+D67)/D6</f>
        <v>6.7106916557495384E-3</v>
      </c>
      <c r="L64" s="280">
        <f t="shared" si="83"/>
        <v>4.4905473977277827E-5</v>
      </c>
      <c r="M64" s="280">
        <f t="shared" si="83"/>
        <v>1.0918432883750802E-2</v>
      </c>
      <c r="N64" s="280">
        <f t="shared" si="83"/>
        <v>1.1714860300290919E-4</v>
      </c>
      <c r="O64" s="280">
        <f t="shared" si="83"/>
        <v>1.9586464701530314E-2</v>
      </c>
      <c r="P64" s="281">
        <f>AVERAGE(K64:O64)</f>
        <v>7.4755286636021684E-3</v>
      </c>
      <c r="Q64" s="281">
        <f>P64</f>
        <v>7.4755286636021684E-3</v>
      </c>
      <c r="R64" s="281">
        <f t="shared" ref="R64" si="84">Q64</f>
        <v>7.4755286636021684E-3</v>
      </c>
      <c r="S64" s="281">
        <f t="shared" ref="S64" si="85">R64</f>
        <v>7.4755286636021684E-3</v>
      </c>
      <c r="T64" s="281">
        <f t="shared" ref="T64" si="86">S64</f>
        <v>7.4755286636021684E-3</v>
      </c>
      <c r="U64" s="281">
        <f t="shared" ref="U64" si="87">T64</f>
        <v>7.4755286636021684E-3</v>
      </c>
      <c r="V64" s="281">
        <f t="shared" ref="V64" si="88">U64</f>
        <v>7.4755286636021684E-3</v>
      </c>
      <c r="W64" s="281">
        <f t="shared" ref="W64" si="89">V64</f>
        <v>7.4755286636021684E-3</v>
      </c>
      <c r="X64" s="281">
        <f t="shared" ref="X64" si="90">W64</f>
        <v>7.4755286636021684E-3</v>
      </c>
      <c r="Y64" s="281">
        <f t="shared" ref="Y64" si="91">X64</f>
        <v>7.4755286636021684E-3</v>
      </c>
      <c r="Z64" s="281">
        <f t="shared" ref="Z64" si="92">Y64</f>
        <v>7.4755286636021684E-3</v>
      </c>
      <c r="AA64" s="281">
        <f t="shared" ref="AA64" si="93">Z64</f>
        <v>7.4755286636021684E-3</v>
      </c>
    </row>
    <row r="65" spans="1:27" outlineLevel="1" x14ac:dyDescent="0.25">
      <c r="A65" s="211">
        <v>2</v>
      </c>
      <c r="B65" s="13" t="s">
        <v>205</v>
      </c>
      <c r="C65" s="248">
        <v>5010</v>
      </c>
      <c r="D65" s="248">
        <v>5184</v>
      </c>
      <c r="E65" s="248">
        <v>6063</v>
      </c>
      <c r="F65" s="248">
        <v>6220</v>
      </c>
      <c r="G65" s="248">
        <v>5723</v>
      </c>
      <c r="H65" s="320">
        <v>5725</v>
      </c>
    </row>
    <row r="66" spans="1:27" outlineLevel="1" x14ac:dyDescent="0.25">
      <c r="A66" s="211">
        <v>3</v>
      </c>
      <c r="B66" s="13" t="s">
        <v>206</v>
      </c>
      <c r="C66" s="248">
        <v>229</v>
      </c>
      <c r="D66" s="248">
        <v>156</v>
      </c>
      <c r="E66" s="248">
        <v>306</v>
      </c>
      <c r="F66" s="248">
        <v>222</v>
      </c>
      <c r="G66" s="248">
        <v>240</v>
      </c>
      <c r="H66" s="320">
        <v>534</v>
      </c>
    </row>
    <row r="67" spans="1:27" outlineLevel="1" x14ac:dyDescent="0.25">
      <c r="A67" s="211">
        <v>1</v>
      </c>
      <c r="B67" s="13" t="s">
        <v>207</v>
      </c>
      <c r="C67" s="248">
        <v>6</v>
      </c>
      <c r="D67" s="248">
        <v>3</v>
      </c>
      <c r="E67" s="248">
        <v>0</v>
      </c>
      <c r="F67" s="248">
        <v>500</v>
      </c>
      <c r="G67" s="248">
        <v>0</v>
      </c>
      <c r="H67" s="320">
        <v>1000</v>
      </c>
    </row>
    <row r="68" spans="1:27" outlineLevel="1" x14ac:dyDescent="0.25">
      <c r="A68" s="211">
        <v>4</v>
      </c>
      <c r="B68" s="316" t="s">
        <v>208</v>
      </c>
      <c r="C68" s="248">
        <v>0</v>
      </c>
      <c r="D68" s="248">
        <v>445</v>
      </c>
      <c r="E68" s="248">
        <v>467</v>
      </c>
      <c r="F68" s="248">
        <v>420</v>
      </c>
      <c r="G68" s="248">
        <v>425</v>
      </c>
      <c r="H68" s="320">
        <v>477</v>
      </c>
      <c r="J68" s="280">
        <f>C68/C6</f>
        <v>0</v>
      </c>
      <c r="K68" s="280">
        <f>D68/D6</f>
        <v>1.189744138170735E-2</v>
      </c>
      <c r="L68" s="280">
        <f t="shared" ref="L68:O68" si="94">E68/E6</f>
        <v>1.0485428173694373E-2</v>
      </c>
      <c r="M68" s="280">
        <f t="shared" si="94"/>
        <v>8.9916506101477191E-3</v>
      </c>
      <c r="N68" s="280">
        <f t="shared" si="94"/>
        <v>8.2980260460394015E-3</v>
      </c>
      <c r="O68" s="280">
        <f t="shared" si="94"/>
        <v>9.2870215334293835E-3</v>
      </c>
      <c r="P68" s="281">
        <f>AVERAGE(K68:O68)</f>
        <v>9.7919135490036457E-3</v>
      </c>
      <c r="Q68" s="281">
        <f>P68</f>
        <v>9.7919135490036457E-3</v>
      </c>
      <c r="R68" s="281">
        <f t="shared" ref="R68" si="95">Q68</f>
        <v>9.7919135490036457E-3</v>
      </c>
      <c r="S68" s="281">
        <f t="shared" ref="S68" si="96">R68</f>
        <v>9.7919135490036457E-3</v>
      </c>
      <c r="T68" s="281">
        <f t="shared" ref="T68" si="97">S68</f>
        <v>9.7919135490036457E-3</v>
      </c>
      <c r="U68" s="281">
        <f t="shared" ref="U68" si="98">T68</f>
        <v>9.7919135490036457E-3</v>
      </c>
      <c r="V68" s="281">
        <f t="shared" ref="V68" si="99">U68</f>
        <v>9.7919135490036457E-3</v>
      </c>
      <c r="W68" s="281">
        <f t="shared" ref="W68" si="100">V68</f>
        <v>9.7919135490036457E-3</v>
      </c>
      <c r="X68" s="281">
        <f t="shared" ref="X68" si="101">W68</f>
        <v>9.7919135490036457E-3</v>
      </c>
      <c r="Y68" s="281">
        <f t="shared" ref="Y68" si="102">X68</f>
        <v>9.7919135490036457E-3</v>
      </c>
      <c r="Z68" s="281">
        <f t="shared" ref="Z68" si="103">Y68</f>
        <v>9.7919135490036457E-3</v>
      </c>
      <c r="AA68" s="281">
        <f t="shared" ref="AA68" si="104">Z68</f>
        <v>9.7919135490036457E-3</v>
      </c>
    </row>
    <row r="69" spans="1:27" outlineLevel="1" x14ac:dyDescent="0.25">
      <c r="A69" s="318">
        <v>3</v>
      </c>
      <c r="B69" s="5" t="s">
        <v>209</v>
      </c>
      <c r="C69" s="248">
        <v>0</v>
      </c>
      <c r="D69" s="248">
        <v>0</v>
      </c>
      <c r="E69" s="248">
        <v>0</v>
      </c>
      <c r="F69" s="248">
        <v>0</v>
      </c>
      <c r="G69" s="248">
        <v>0</v>
      </c>
      <c r="H69" s="320">
        <v>0</v>
      </c>
      <c r="J69" s="280">
        <f>(C69+C66)/C6</f>
        <v>5.8542321752690649E-3</v>
      </c>
      <c r="K69" s="280">
        <f t="shared" ref="K69:O69" si="105">(D69+D66)/D6</f>
        <v>4.1707884394299923E-3</v>
      </c>
      <c r="L69" s="280">
        <f t="shared" si="105"/>
        <v>6.8705375185235083E-3</v>
      </c>
      <c r="M69" s="280">
        <f t="shared" si="105"/>
        <v>4.7527296082209378E-3</v>
      </c>
      <c r="N69" s="280">
        <f t="shared" si="105"/>
        <v>4.6859441201163674E-3</v>
      </c>
      <c r="O69" s="280">
        <f t="shared" si="105"/>
        <v>1.0396791402203964E-2</v>
      </c>
      <c r="P69" s="281">
        <f>AVERAGE(J69:O69)</f>
        <v>6.1218372106273053E-3</v>
      </c>
      <c r="Q69" s="281">
        <f>P69</f>
        <v>6.1218372106273053E-3</v>
      </c>
      <c r="R69" s="281">
        <f t="shared" ref="R69" si="106">Q69</f>
        <v>6.1218372106273053E-3</v>
      </c>
      <c r="S69" s="281">
        <f t="shared" ref="S69" si="107">R69</f>
        <v>6.1218372106273053E-3</v>
      </c>
      <c r="T69" s="281">
        <f t="shared" ref="T69" si="108">S69</f>
        <v>6.1218372106273053E-3</v>
      </c>
      <c r="U69" s="281">
        <f t="shared" ref="U69" si="109">T69</f>
        <v>6.1218372106273053E-3</v>
      </c>
      <c r="V69" s="281">
        <f t="shared" ref="V69" si="110">U69</f>
        <v>6.1218372106273053E-3</v>
      </c>
      <c r="W69" s="281">
        <f t="shared" ref="W69" si="111">V69</f>
        <v>6.1218372106273053E-3</v>
      </c>
      <c r="X69" s="281">
        <f t="shared" ref="X69" si="112">W69</f>
        <v>6.1218372106273053E-3</v>
      </c>
      <c r="Y69" s="281">
        <f t="shared" ref="Y69" si="113">X69</f>
        <v>6.1218372106273053E-3</v>
      </c>
      <c r="Z69" s="281">
        <f t="shared" ref="Z69" si="114">Y69</f>
        <v>6.1218372106273053E-3</v>
      </c>
      <c r="AA69" s="281">
        <f t="shared" ref="AA69" si="115">Z69</f>
        <v>6.1218372106273053E-3</v>
      </c>
    </row>
    <row r="70" spans="1:27" outlineLevel="1" x14ac:dyDescent="0.25">
      <c r="B70" s="220" t="s">
        <v>210</v>
      </c>
      <c r="C70" s="249">
        <f t="shared" ref="C70:G70" si="116">SUM(C63:C69)</f>
        <v>7866</v>
      </c>
      <c r="D70" s="249">
        <f t="shared" si="116"/>
        <v>8284</v>
      </c>
      <c r="E70" s="249">
        <f t="shared" si="116"/>
        <v>9674</v>
      </c>
      <c r="F70" s="249">
        <f t="shared" si="116"/>
        <v>10730</v>
      </c>
      <c r="G70" s="249">
        <f t="shared" si="116"/>
        <v>9256</v>
      </c>
      <c r="H70" s="321">
        <f>SUM(H63:H69)</f>
        <v>10593</v>
      </c>
    </row>
    <row r="71" spans="1:27" outlineLevel="1" x14ac:dyDescent="0.25">
      <c r="B71" s="5"/>
      <c r="C71" s="248"/>
      <c r="D71" s="248"/>
      <c r="E71" s="248"/>
      <c r="F71" s="248"/>
      <c r="G71" s="248"/>
      <c r="H71" s="248"/>
    </row>
    <row r="72" spans="1:27" outlineLevel="1" x14ac:dyDescent="0.25">
      <c r="A72" s="211">
        <v>1</v>
      </c>
      <c r="B72" s="13" t="s">
        <v>211</v>
      </c>
      <c r="C72" s="248">
        <v>3464</v>
      </c>
      <c r="D72" s="248">
        <v>9406</v>
      </c>
      <c r="E72" s="248">
        <v>9413</v>
      </c>
      <c r="F72" s="248">
        <v>8920</v>
      </c>
      <c r="G72" s="248">
        <v>8927</v>
      </c>
      <c r="H72" s="248">
        <v>7903</v>
      </c>
      <c r="J72" s="280">
        <f>(C72+C73)/C6</f>
        <v>8.8554848275685757E-2</v>
      </c>
      <c r="K72" s="280">
        <f t="shared" ref="K72:O72" si="117">(D72+D73)/D6</f>
        <v>0.25147715423896477</v>
      </c>
      <c r="L72" s="280">
        <f t="shared" si="117"/>
        <v>0.2113476132740581</v>
      </c>
      <c r="M72" s="280">
        <f t="shared" si="117"/>
        <v>0.19096553200599442</v>
      </c>
      <c r="N72" s="280">
        <f t="shared" si="117"/>
        <v>0.17429759650116172</v>
      </c>
      <c r="O72" s="280">
        <f t="shared" si="117"/>
        <v>0.15386861882325453</v>
      </c>
      <c r="P72" s="281"/>
      <c r="Q72" s="281"/>
      <c r="R72" s="281"/>
      <c r="S72" s="281"/>
      <c r="T72" s="281"/>
      <c r="U72" s="281"/>
      <c r="V72" s="281"/>
      <c r="W72" s="281"/>
      <c r="X72" s="281"/>
      <c r="Y72" s="281"/>
      <c r="Z72" s="281"/>
      <c r="AA72" s="281"/>
    </row>
    <row r="73" spans="1:27" outlineLevel="1" x14ac:dyDescent="0.25">
      <c r="A73" s="211">
        <v>1</v>
      </c>
      <c r="B73" s="13" t="s">
        <v>212</v>
      </c>
      <c r="C73" s="248">
        <v>0</v>
      </c>
      <c r="D73" s="248">
        <v>0</v>
      </c>
      <c r="E73" s="248">
        <v>0</v>
      </c>
      <c r="F73" s="248">
        <v>0</v>
      </c>
      <c r="G73" s="248">
        <v>0</v>
      </c>
      <c r="H73" s="248">
        <v>0</v>
      </c>
      <c r="J73" s="280"/>
      <c r="K73" s="280"/>
      <c r="L73" s="280"/>
      <c r="M73" s="280"/>
      <c r="N73" s="280"/>
      <c r="O73" s="280"/>
    </row>
    <row r="74" spans="1:27" outlineLevel="1" x14ac:dyDescent="0.25">
      <c r="A74" s="211">
        <v>2</v>
      </c>
      <c r="B74" s="317" t="s">
        <v>260</v>
      </c>
      <c r="C74" s="248">
        <v>0</v>
      </c>
      <c r="D74" s="248">
        <v>2913</v>
      </c>
      <c r="E74" s="248">
        <v>2931</v>
      </c>
      <c r="F74" s="248">
        <v>2777</v>
      </c>
      <c r="G74" s="248">
        <v>2786</v>
      </c>
      <c r="H74" s="248">
        <v>2566</v>
      </c>
      <c r="J74" s="280">
        <f>C74/C6</f>
        <v>0</v>
      </c>
      <c r="K74" s="280">
        <f t="shared" ref="K74:O74" si="118">D74/D6</f>
        <v>7.7881453359356201E-2</v>
      </c>
      <c r="L74" s="280">
        <f t="shared" si="118"/>
        <v>6.5808972113700653E-2</v>
      </c>
      <c r="M74" s="280">
        <f t="shared" si="118"/>
        <v>5.9451937486619567E-2</v>
      </c>
      <c r="N74" s="280">
        <f t="shared" si="118"/>
        <v>5.4396001327684164E-2</v>
      </c>
      <c r="O74" s="280">
        <f t="shared" si="118"/>
        <v>4.9959113741676726E-2</v>
      </c>
      <c r="P74" s="281">
        <f>AVERAGE(K74:O74)</f>
        <v>6.1499495605807461E-2</v>
      </c>
      <c r="Q74" s="281">
        <f>P74</f>
        <v>6.1499495605807461E-2</v>
      </c>
      <c r="R74" s="281">
        <f t="shared" ref="R74" si="119">Q74</f>
        <v>6.1499495605807461E-2</v>
      </c>
      <c r="S74" s="281">
        <f t="shared" ref="S74" si="120">R74</f>
        <v>6.1499495605807461E-2</v>
      </c>
      <c r="T74" s="281">
        <f t="shared" ref="T74" si="121">S74</f>
        <v>6.1499495605807461E-2</v>
      </c>
      <c r="U74" s="281">
        <f t="shared" ref="U74" si="122">T74</f>
        <v>6.1499495605807461E-2</v>
      </c>
      <c r="V74" s="281">
        <f t="shared" ref="V74" si="123">U74</f>
        <v>6.1499495605807461E-2</v>
      </c>
      <c r="W74" s="281">
        <f t="shared" ref="W74" si="124">V74</f>
        <v>6.1499495605807461E-2</v>
      </c>
      <c r="X74" s="281">
        <f t="shared" ref="X74" si="125">W74</f>
        <v>6.1499495605807461E-2</v>
      </c>
      <c r="Y74" s="281">
        <f t="shared" ref="Y74" si="126">X74</f>
        <v>6.1499495605807461E-2</v>
      </c>
      <c r="Z74" s="281">
        <f t="shared" ref="Z74" si="127">Y74</f>
        <v>6.1499495605807461E-2</v>
      </c>
      <c r="AA74" s="281">
        <f t="shared" ref="AA74" si="128">Z74</f>
        <v>6.1499495605807461E-2</v>
      </c>
    </row>
    <row r="75" spans="1:27" outlineLevel="1" x14ac:dyDescent="0.25">
      <c r="A75" s="211">
        <v>3</v>
      </c>
      <c r="B75" s="5" t="s">
        <v>213</v>
      </c>
      <c r="C75" s="248">
        <v>3347</v>
      </c>
      <c r="D75" s="248">
        <v>2684</v>
      </c>
      <c r="E75" s="248">
        <v>2955</v>
      </c>
      <c r="F75" s="248">
        <v>2613</v>
      </c>
      <c r="G75" s="248">
        <v>2558</v>
      </c>
      <c r="H75" s="248">
        <v>2618</v>
      </c>
      <c r="J75" s="280">
        <f>C75/C6</f>
        <v>8.5563821356443484E-2</v>
      </c>
      <c r="K75" s="280">
        <f t="shared" ref="K75:O75" si="129">D75/D6</f>
        <v>7.175894981685961E-2</v>
      </c>
      <c r="L75" s="280">
        <f t="shared" si="129"/>
        <v>6.6347837801428E-2</v>
      </c>
      <c r="M75" s="280">
        <f t="shared" si="129"/>
        <v>5.5940912010276171E-2</v>
      </c>
      <c r="N75" s="280">
        <f t="shared" si="129"/>
        <v>4.9944354413573616E-2</v>
      </c>
      <c r="O75" s="280">
        <f t="shared" si="129"/>
        <v>5.097153537634827E-2</v>
      </c>
      <c r="P75" s="281">
        <f>AVERAGE(K75:O75)</f>
        <v>5.8992717883697129E-2</v>
      </c>
      <c r="Q75" s="281">
        <f>P75</f>
        <v>5.8992717883697129E-2</v>
      </c>
      <c r="R75" s="281">
        <f t="shared" ref="R75" si="130">Q75</f>
        <v>5.8992717883697129E-2</v>
      </c>
      <c r="S75" s="281">
        <f t="shared" ref="S75" si="131">R75</f>
        <v>5.8992717883697129E-2</v>
      </c>
      <c r="T75" s="281">
        <f t="shared" ref="T75" si="132">S75</f>
        <v>5.8992717883697129E-2</v>
      </c>
      <c r="U75" s="281">
        <f t="shared" ref="U75" si="133">T75</f>
        <v>5.8992717883697129E-2</v>
      </c>
      <c r="V75" s="281">
        <f t="shared" ref="V75" si="134">U75</f>
        <v>5.8992717883697129E-2</v>
      </c>
      <c r="W75" s="281">
        <f t="shared" ref="W75" si="135">V75</f>
        <v>5.8992717883697129E-2</v>
      </c>
      <c r="X75" s="281">
        <f t="shared" ref="X75" si="136">W75</f>
        <v>5.8992717883697129E-2</v>
      </c>
      <c r="Y75" s="281">
        <f t="shared" ref="Y75" si="137">X75</f>
        <v>5.8992717883697129E-2</v>
      </c>
      <c r="Z75" s="281">
        <f t="shared" ref="Z75" si="138">Y75</f>
        <v>5.8992717883697129E-2</v>
      </c>
      <c r="AA75" s="281">
        <f t="shared" ref="AA75" si="139">Z75</f>
        <v>5.8992717883697129E-2</v>
      </c>
    </row>
    <row r="76" spans="1:27" outlineLevel="1" x14ac:dyDescent="0.25">
      <c r="B76" s="220" t="s">
        <v>214</v>
      </c>
      <c r="C76" s="249">
        <f t="shared" ref="C76:H76" si="140">SUM(C70:C75)</f>
        <v>14677</v>
      </c>
      <c r="D76" s="249">
        <f t="shared" si="140"/>
        <v>23287</v>
      </c>
      <c r="E76" s="249">
        <f t="shared" si="140"/>
        <v>24973</v>
      </c>
      <c r="F76" s="249">
        <f t="shared" si="140"/>
        <v>25040</v>
      </c>
      <c r="G76" s="249">
        <f t="shared" si="140"/>
        <v>23527</v>
      </c>
      <c r="H76" s="249">
        <f t="shared" si="140"/>
        <v>23680</v>
      </c>
    </row>
    <row r="77" spans="1:27" outlineLevel="1" x14ac:dyDescent="0.25">
      <c r="B77" s="5"/>
      <c r="C77" s="248"/>
      <c r="D77" s="248"/>
      <c r="E77" s="248"/>
      <c r="F77" s="248"/>
      <c r="G77" s="248"/>
      <c r="H77" s="248"/>
    </row>
    <row r="78" spans="1:27" outlineLevel="1" x14ac:dyDescent="0.25">
      <c r="B78" s="7" t="s">
        <v>80</v>
      </c>
      <c r="C78" s="6"/>
      <c r="D78" s="6"/>
      <c r="E78" s="6"/>
      <c r="F78" s="6"/>
      <c r="G78" s="6"/>
      <c r="H78" s="6"/>
    </row>
    <row r="79" spans="1:27" outlineLevel="1" x14ac:dyDescent="0.25">
      <c r="B79" s="13" t="s">
        <v>215</v>
      </c>
      <c r="C79" s="248">
        <f t="shared" ref="C79:H79" si="141">C44</f>
        <v>9040</v>
      </c>
      <c r="D79" s="248">
        <f t="shared" si="141"/>
        <v>8055</v>
      </c>
      <c r="E79" s="248">
        <f t="shared" si="141"/>
        <v>12767</v>
      </c>
      <c r="F79" s="248">
        <f t="shared" si="141"/>
        <v>15281</v>
      </c>
      <c r="G79" s="248">
        <f t="shared" si="141"/>
        <v>14004</v>
      </c>
      <c r="H79" s="248">
        <f t="shared" si="141"/>
        <v>14430</v>
      </c>
    </row>
    <row r="80" spans="1:27" outlineLevel="1" x14ac:dyDescent="0.25">
      <c r="B80" s="13" t="s">
        <v>172</v>
      </c>
      <c r="C80" s="248">
        <v>0</v>
      </c>
      <c r="D80" s="248">
        <v>0</v>
      </c>
      <c r="E80" s="248">
        <v>0</v>
      </c>
      <c r="F80" s="248">
        <v>0</v>
      </c>
      <c r="G80" s="248">
        <v>0</v>
      </c>
      <c r="H80" s="248">
        <f t="shared" ref="H80" si="142">G80</f>
        <v>0</v>
      </c>
    </row>
    <row r="81" spans="2:27" outlineLevel="1" x14ac:dyDescent="0.25">
      <c r="B81" s="5" t="s">
        <v>216</v>
      </c>
      <c r="C81" s="248">
        <f t="shared" ref="C81:E81" si="143">C79+C80</f>
        <v>9040</v>
      </c>
      <c r="D81" s="248">
        <f t="shared" si="143"/>
        <v>8055</v>
      </c>
      <c r="E81" s="248">
        <f t="shared" si="143"/>
        <v>12767</v>
      </c>
      <c r="F81" s="248">
        <f>F79+F80</f>
        <v>15281</v>
      </c>
      <c r="G81" s="248">
        <f>G79+G80</f>
        <v>14004</v>
      </c>
      <c r="H81" s="248">
        <f>H79+H80</f>
        <v>14430</v>
      </c>
    </row>
    <row r="82" spans="2:27" ht="13.8" thickBot="1" x14ac:dyDescent="0.3">
      <c r="B82" s="10" t="s">
        <v>217</v>
      </c>
      <c r="C82" s="261">
        <f>C81+C76</f>
        <v>23717</v>
      </c>
      <c r="D82" s="261">
        <f t="shared" ref="D82:H82" si="144">D81+D76</f>
        <v>31342</v>
      </c>
      <c r="E82" s="261">
        <f t="shared" si="144"/>
        <v>37740</v>
      </c>
      <c r="F82" s="261">
        <f t="shared" si="144"/>
        <v>40321</v>
      </c>
      <c r="G82" s="261">
        <f t="shared" si="144"/>
        <v>37531</v>
      </c>
      <c r="H82" s="261">
        <f t="shared" si="144"/>
        <v>38110</v>
      </c>
    </row>
    <row r="83" spans="2:27" ht="13.8" thickTop="1" x14ac:dyDescent="0.25"/>
    <row r="84" spans="2:27" ht="13.8" thickBot="1" x14ac:dyDescent="0.3">
      <c r="B84" s="242" t="s">
        <v>261</v>
      </c>
      <c r="C84" s="240">
        <v>2019</v>
      </c>
      <c r="D84" s="240">
        <v>2020</v>
      </c>
      <c r="E84" s="240">
        <v>2021</v>
      </c>
      <c r="F84" s="240">
        <v>2022</v>
      </c>
      <c r="G84" s="241">
        <v>2023</v>
      </c>
      <c r="H84" s="241">
        <v>2024</v>
      </c>
    </row>
    <row r="85" spans="2:27" ht="13.8" hidden="1" outlineLevel="1" thickTop="1" x14ac:dyDescent="0.25">
      <c r="B85" s="221" t="s">
        <v>218</v>
      </c>
      <c r="C85" s="222"/>
      <c r="D85" s="222"/>
      <c r="E85" s="222"/>
      <c r="F85" s="222"/>
      <c r="G85" s="222"/>
      <c r="H85" s="222"/>
    </row>
    <row r="86" spans="2:27" hidden="1" outlineLevel="1" x14ac:dyDescent="0.25">
      <c r="B86" s="222" t="s">
        <v>219</v>
      </c>
      <c r="C86" s="223">
        <v>4454</v>
      </c>
      <c r="D86" s="223">
        <f>C90</f>
        <v>4744</v>
      </c>
      <c r="E86" s="223">
        <f t="shared" ref="E86:F86" si="145">D90</f>
        <v>4866</v>
      </c>
      <c r="F86" s="223">
        <f t="shared" si="145"/>
        <v>4904</v>
      </c>
      <c r="G86" s="223">
        <f>F90</f>
        <v>4791</v>
      </c>
      <c r="H86" s="223">
        <f>G90</f>
        <v>5081</v>
      </c>
    </row>
    <row r="87" spans="2:27" hidden="1" outlineLevel="1" x14ac:dyDescent="0.25">
      <c r="B87" s="222" t="s">
        <v>220</v>
      </c>
      <c r="C87" s="224">
        <v>1119</v>
      </c>
      <c r="D87" s="224">
        <v>1086</v>
      </c>
      <c r="E87" s="224">
        <v>695</v>
      </c>
      <c r="F87" s="224">
        <v>758</v>
      </c>
      <c r="G87" s="224">
        <v>969</v>
      </c>
      <c r="H87" s="224">
        <v>812</v>
      </c>
    </row>
    <row r="88" spans="2:27" hidden="1" outlineLevel="1" x14ac:dyDescent="0.25">
      <c r="B88" s="222" t="s">
        <v>221</v>
      </c>
      <c r="C88" s="225">
        <f>C90-C86-C87-C89</f>
        <v>-124</v>
      </c>
      <c r="D88" s="225">
        <f t="shared" ref="D88:H88" si="146">D90-D86-D87-D89</f>
        <v>-243</v>
      </c>
      <c r="E88" s="225">
        <f t="shared" si="146"/>
        <v>87</v>
      </c>
      <c r="F88" s="225">
        <f t="shared" si="146"/>
        <v>-154</v>
      </c>
      <c r="G88" s="225">
        <f t="shared" si="146"/>
        <v>24</v>
      </c>
      <c r="H88" s="225">
        <f t="shared" si="146"/>
        <v>-97</v>
      </c>
    </row>
    <row r="89" spans="2:27" hidden="1" outlineLevel="1" x14ac:dyDescent="0.25">
      <c r="B89" s="222" t="s">
        <v>222</v>
      </c>
      <c r="C89" s="224">
        <f t="shared" ref="C89:H89" si="147">C10</f>
        <v>-705</v>
      </c>
      <c r="D89" s="224">
        <f t="shared" si="147"/>
        <v>-721</v>
      </c>
      <c r="E89" s="224">
        <f t="shared" si="147"/>
        <v>-744</v>
      </c>
      <c r="F89" s="224">
        <f t="shared" si="147"/>
        <v>-717</v>
      </c>
      <c r="G89" s="224">
        <f t="shared" si="147"/>
        <v>-703</v>
      </c>
      <c r="H89" s="224">
        <f t="shared" si="147"/>
        <v>-796</v>
      </c>
    </row>
    <row r="90" spans="2:27" ht="14.4" collapsed="1" thickTop="1" thickBot="1" x14ac:dyDescent="0.3">
      <c r="B90" s="243" t="s">
        <v>223</v>
      </c>
      <c r="C90" s="261">
        <f t="shared" ref="C90:H90" si="148">C55</f>
        <v>4744</v>
      </c>
      <c r="D90" s="261">
        <f t="shared" si="148"/>
        <v>4866</v>
      </c>
      <c r="E90" s="261">
        <f t="shared" si="148"/>
        <v>4904</v>
      </c>
      <c r="F90" s="261">
        <f t="shared" si="148"/>
        <v>4791</v>
      </c>
      <c r="G90" s="261">
        <f t="shared" si="148"/>
        <v>5081</v>
      </c>
      <c r="H90" s="261">
        <f t="shared" si="148"/>
        <v>5000</v>
      </c>
      <c r="J90" s="314">
        <f>D6/C90</f>
        <v>7.8842748735244523</v>
      </c>
      <c r="K90" s="314">
        <f>E6/D90</f>
        <v>9.1528976572133161</v>
      </c>
      <c r="L90" s="314">
        <f>F6/E90</f>
        <v>9.5248776508972259</v>
      </c>
      <c r="M90" s="314">
        <f>G6/F90</f>
        <v>10.690252556877478</v>
      </c>
      <c r="N90" s="314">
        <f>H6/G90</f>
        <v>10.108640031489864</v>
      </c>
      <c r="O90" s="314">
        <f>'Income&amp;Equity'!D3/H90</f>
        <v>10.477848</v>
      </c>
      <c r="P90" s="312">
        <v>10.5</v>
      </c>
      <c r="Q90" s="312">
        <f>P90</f>
        <v>10.5</v>
      </c>
      <c r="R90" s="312">
        <f t="shared" ref="R90:AA90" si="149">Q90</f>
        <v>10.5</v>
      </c>
      <c r="S90" s="312">
        <f t="shared" si="149"/>
        <v>10.5</v>
      </c>
      <c r="T90" s="312">
        <f t="shared" si="149"/>
        <v>10.5</v>
      </c>
      <c r="U90" s="312">
        <f t="shared" si="149"/>
        <v>10.5</v>
      </c>
      <c r="V90" s="312">
        <f t="shared" si="149"/>
        <v>10.5</v>
      </c>
      <c r="W90" s="312">
        <f t="shared" si="149"/>
        <v>10.5</v>
      </c>
      <c r="X90" s="312">
        <f t="shared" si="149"/>
        <v>10.5</v>
      </c>
      <c r="Y90" s="312">
        <f t="shared" si="149"/>
        <v>10.5</v>
      </c>
      <c r="Z90" s="312">
        <f t="shared" si="149"/>
        <v>10.5</v>
      </c>
      <c r="AA90" s="312">
        <f t="shared" si="149"/>
        <v>10.5</v>
      </c>
    </row>
    <row r="91" spans="2:27" ht="13.8" thickTop="1" x14ac:dyDescent="0.25">
      <c r="C91" s="250"/>
      <c r="D91" s="250"/>
    </row>
    <row r="92" spans="2:27" ht="13.8" thickBot="1" x14ac:dyDescent="0.3">
      <c r="B92" s="242" t="s">
        <v>250</v>
      </c>
      <c r="C92" s="240">
        <v>2019</v>
      </c>
      <c r="D92" s="240">
        <v>2020</v>
      </c>
      <c r="E92" s="240">
        <v>2021</v>
      </c>
      <c r="F92" s="240">
        <v>2022</v>
      </c>
      <c r="G92" s="241">
        <v>2023</v>
      </c>
      <c r="H92" s="241">
        <v>2024</v>
      </c>
    </row>
    <row r="93" spans="2:27" ht="13.8" hidden="1" outlineLevel="1" thickTop="1" x14ac:dyDescent="0.25">
      <c r="B93" s="234" t="s">
        <v>251</v>
      </c>
      <c r="C93" s="222"/>
      <c r="D93" s="222"/>
      <c r="E93" s="222"/>
      <c r="F93" s="222"/>
      <c r="G93" s="222"/>
      <c r="H93" s="222"/>
    </row>
    <row r="94" spans="2:27" hidden="1" outlineLevel="1" x14ac:dyDescent="0.25">
      <c r="B94" s="222" t="s">
        <v>219</v>
      </c>
      <c r="C94" s="223">
        <v>0</v>
      </c>
      <c r="D94" s="223">
        <v>0</v>
      </c>
      <c r="E94" s="223">
        <v>0</v>
      </c>
      <c r="F94" s="223">
        <v>0</v>
      </c>
      <c r="G94" s="223">
        <v>0</v>
      </c>
      <c r="H94" s="223">
        <v>0</v>
      </c>
    </row>
    <row r="95" spans="2:27" hidden="1" outlineLevel="1" x14ac:dyDescent="0.25">
      <c r="B95" s="235" t="s">
        <v>252</v>
      </c>
      <c r="C95" s="223">
        <v>0</v>
      </c>
      <c r="D95" s="223">
        <v>0</v>
      </c>
      <c r="E95" s="223">
        <v>0</v>
      </c>
      <c r="F95" s="223">
        <v>0</v>
      </c>
      <c r="G95" s="223">
        <v>0</v>
      </c>
      <c r="H95" s="223">
        <v>0</v>
      </c>
    </row>
    <row r="96" spans="2:27" hidden="1" outlineLevel="1" x14ac:dyDescent="0.25">
      <c r="B96" s="222" t="s">
        <v>262</v>
      </c>
      <c r="C96" s="223">
        <v>0</v>
      </c>
      <c r="D96" s="223">
        <v>0</v>
      </c>
      <c r="E96" s="223">
        <v>0</v>
      </c>
      <c r="F96" s="223">
        <v>0</v>
      </c>
      <c r="G96" s="223">
        <v>0</v>
      </c>
      <c r="H96" s="223">
        <v>0</v>
      </c>
    </row>
    <row r="97" spans="2:12" ht="14.4" collapsed="1" thickTop="1" thickBot="1" x14ac:dyDescent="0.3">
      <c r="B97" s="243" t="s">
        <v>253</v>
      </c>
      <c r="C97" s="261">
        <f t="shared" ref="C97:H97" si="150">SUM(C94:C96)</f>
        <v>0</v>
      </c>
      <c r="D97" s="261">
        <f t="shared" si="150"/>
        <v>0</v>
      </c>
      <c r="E97" s="261">
        <f t="shared" si="150"/>
        <v>0</v>
      </c>
      <c r="F97" s="261">
        <f t="shared" si="150"/>
        <v>0</v>
      </c>
      <c r="G97" s="261">
        <f t="shared" si="150"/>
        <v>0</v>
      </c>
      <c r="H97" s="261">
        <f t="shared" si="150"/>
        <v>0</v>
      </c>
    </row>
    <row r="98" spans="2:12" ht="13.8" thickTop="1" x14ac:dyDescent="0.25">
      <c r="B98" s="2"/>
      <c r="C98" s="222"/>
      <c r="D98" s="222"/>
      <c r="E98" s="222"/>
      <c r="F98" s="222"/>
      <c r="G98" s="251"/>
      <c r="H98" s="251"/>
    </row>
    <row r="99" spans="2:12" ht="13.8" thickBot="1" x14ac:dyDescent="0.3">
      <c r="B99" s="242" t="s">
        <v>254</v>
      </c>
      <c r="C99" s="240">
        <v>2019</v>
      </c>
      <c r="D99" s="240">
        <v>2020</v>
      </c>
      <c r="E99" s="240">
        <v>2021</v>
      </c>
      <c r="F99" s="240">
        <v>2022</v>
      </c>
      <c r="G99" s="241">
        <v>2023</v>
      </c>
      <c r="H99" s="241">
        <v>2024</v>
      </c>
    </row>
    <row r="100" spans="2:12" ht="13.8" hidden="1" outlineLevel="1" thickTop="1" x14ac:dyDescent="0.25">
      <c r="B100" s="221" t="s">
        <v>255</v>
      </c>
      <c r="C100" s="222"/>
      <c r="D100" s="222"/>
      <c r="E100" s="222"/>
      <c r="F100" s="222"/>
      <c r="G100" s="222"/>
      <c r="H100" s="222"/>
    </row>
    <row r="101" spans="2:12" hidden="1" outlineLevel="1" x14ac:dyDescent="0.25">
      <c r="B101" s="222" t="s">
        <v>219</v>
      </c>
      <c r="C101" s="223">
        <f>285+154</f>
        <v>439</v>
      </c>
      <c r="D101" s="223">
        <f t="shared" ref="D101:F101" si="151">C104</f>
        <v>437</v>
      </c>
      <c r="E101" s="223">
        <f t="shared" si="151"/>
        <v>497</v>
      </c>
      <c r="F101" s="223">
        <f t="shared" si="151"/>
        <v>511</v>
      </c>
      <c r="G101" s="223">
        <f>F104</f>
        <v>570</v>
      </c>
      <c r="H101" s="223">
        <f>G104</f>
        <v>555</v>
      </c>
    </row>
    <row r="102" spans="2:12" ht="13.8" hidden="1" outlineLevel="1" thickBot="1" x14ac:dyDescent="0.3">
      <c r="B102" s="235" t="s">
        <v>256</v>
      </c>
      <c r="C102" s="224">
        <f>C104-C101-C103</f>
        <v>13</v>
      </c>
      <c r="D102" s="224">
        <f t="shared" ref="D102:H102" si="152">D104-D101-D103</f>
        <v>458</v>
      </c>
      <c r="E102" s="224">
        <f t="shared" si="152"/>
        <v>67</v>
      </c>
      <c r="F102" s="224">
        <f t="shared" si="152"/>
        <v>182</v>
      </c>
      <c r="G102" s="224">
        <f t="shared" si="152"/>
        <v>141</v>
      </c>
      <c r="H102" s="224">
        <f t="shared" si="152"/>
        <v>-8</v>
      </c>
      <c r="J102" s="312" t="s">
        <v>298</v>
      </c>
      <c r="K102" s="312">
        <v>2024</v>
      </c>
      <c r="L102" s="312" t="s">
        <v>299</v>
      </c>
    </row>
    <row r="103" spans="2:12" ht="13.8" hidden="1" outlineLevel="1" thickTop="1" x14ac:dyDescent="0.25">
      <c r="B103" s="222" t="s">
        <v>264</v>
      </c>
      <c r="C103" s="224">
        <v>-15</v>
      </c>
      <c r="D103" s="224">
        <v>-398</v>
      </c>
      <c r="E103" s="224">
        <v>-53</v>
      </c>
      <c r="F103" s="224">
        <v>-123</v>
      </c>
      <c r="G103" s="224">
        <v>-156</v>
      </c>
      <c r="H103" s="224">
        <v>-48</v>
      </c>
      <c r="J103" s="313">
        <f>SUM(C103:G103)</f>
        <v>-745</v>
      </c>
      <c r="K103" s="313">
        <f>H103</f>
        <v>-48</v>
      </c>
      <c r="L103" s="313">
        <f>K103+J103</f>
        <v>-793</v>
      </c>
    </row>
    <row r="104" spans="2:12" ht="14.4" collapsed="1" thickTop="1" thickBot="1" x14ac:dyDescent="0.3">
      <c r="B104" s="243" t="s">
        <v>257</v>
      </c>
      <c r="C104" s="261">
        <f t="shared" ref="C104:G104" si="153">C58+C57</f>
        <v>437</v>
      </c>
      <c r="D104" s="261">
        <f t="shared" si="153"/>
        <v>497</v>
      </c>
      <c r="E104" s="261">
        <f t="shared" si="153"/>
        <v>511</v>
      </c>
      <c r="F104" s="261">
        <f t="shared" si="153"/>
        <v>570</v>
      </c>
      <c r="G104" s="261">
        <f t="shared" si="153"/>
        <v>555</v>
      </c>
      <c r="H104" s="261">
        <f>H58+H57</f>
        <v>499</v>
      </c>
    </row>
    <row r="105" spans="2:12" ht="13.8" thickTop="1" x14ac:dyDescent="0.25"/>
    <row r="106" spans="2:12" ht="13.8" thickBot="1" x14ac:dyDescent="0.3">
      <c r="B106" s="242" t="s">
        <v>263</v>
      </c>
      <c r="C106" s="240">
        <v>2019</v>
      </c>
      <c r="D106" s="240">
        <v>2020</v>
      </c>
      <c r="E106" s="240">
        <v>2021</v>
      </c>
      <c r="F106" s="240">
        <v>2022</v>
      </c>
      <c r="G106" s="241">
        <v>2023</v>
      </c>
      <c r="H106" s="241">
        <v>2024</v>
      </c>
    </row>
    <row r="107" spans="2:12" ht="13.8" hidden="1" outlineLevel="1" thickTop="1" x14ac:dyDescent="0.25">
      <c r="B107" s="22" t="s">
        <v>224</v>
      </c>
      <c r="C107" s="252">
        <v>4208</v>
      </c>
      <c r="D107" s="252">
        <v>2954</v>
      </c>
      <c r="E107" s="252">
        <v>5723</v>
      </c>
      <c r="F107" s="252">
        <v>6020</v>
      </c>
      <c r="G107" s="252">
        <v>4663</v>
      </c>
      <c r="H107" s="252">
        <v>5588</v>
      </c>
    </row>
    <row r="108" spans="2:12" hidden="1" outlineLevel="1" x14ac:dyDescent="0.25">
      <c r="B108" s="226" t="s">
        <v>225</v>
      </c>
      <c r="C108" s="253">
        <f t="shared" ref="C108:D108" si="154">C109-C107</f>
        <v>593</v>
      </c>
      <c r="D108" s="253">
        <f t="shared" si="154"/>
        <v>-67</v>
      </c>
      <c r="E108" s="253">
        <f>E109-E107</f>
        <v>938</v>
      </c>
      <c r="F108" s="253">
        <f t="shared" ref="F108:H108" si="155">F109-F107</f>
        <v>631</v>
      </c>
      <c r="G108" s="253">
        <f t="shared" si="155"/>
        <v>1538</v>
      </c>
      <c r="H108" s="253">
        <f t="shared" si="155"/>
        <v>1112</v>
      </c>
    </row>
    <row r="109" spans="2:12" hidden="1" outlineLevel="1" x14ac:dyDescent="0.25">
      <c r="B109" s="22" t="s">
        <v>169</v>
      </c>
      <c r="C109" s="263">
        <f t="shared" ref="C109:H109" si="156">C16</f>
        <v>4801</v>
      </c>
      <c r="D109" s="263">
        <f t="shared" si="156"/>
        <v>2887</v>
      </c>
      <c r="E109" s="263">
        <f t="shared" si="156"/>
        <v>6661</v>
      </c>
      <c r="F109" s="263">
        <f t="shared" si="156"/>
        <v>6651</v>
      </c>
      <c r="G109" s="263">
        <f t="shared" si="156"/>
        <v>6201</v>
      </c>
      <c r="H109" s="263">
        <f t="shared" si="156"/>
        <v>6700</v>
      </c>
    </row>
    <row r="110" spans="2:12" hidden="1" outlineLevel="1" x14ac:dyDescent="0.25">
      <c r="B110" s="22"/>
      <c r="C110" s="254"/>
      <c r="D110" s="254"/>
      <c r="E110" s="254"/>
      <c r="F110" s="254"/>
      <c r="G110" s="254"/>
      <c r="H110" s="254"/>
    </row>
    <row r="111" spans="2:12" ht="13.8" hidden="1" outlineLevel="1" thickBot="1" x14ac:dyDescent="0.3">
      <c r="B111" s="242" t="s">
        <v>226</v>
      </c>
      <c r="C111" s="240">
        <f>C106</f>
        <v>2019</v>
      </c>
      <c r="D111" s="240">
        <f t="shared" ref="D111:H111" si="157">D106</f>
        <v>2020</v>
      </c>
      <c r="E111" s="240">
        <f t="shared" si="157"/>
        <v>2021</v>
      </c>
      <c r="F111" s="240">
        <f t="shared" si="157"/>
        <v>2022</v>
      </c>
      <c r="G111" s="240">
        <f t="shared" si="157"/>
        <v>2023</v>
      </c>
      <c r="H111" s="240">
        <f t="shared" si="157"/>
        <v>2024</v>
      </c>
    </row>
    <row r="112" spans="2:12" ht="13.8" hidden="1" outlineLevel="1" thickTop="1" x14ac:dyDescent="0.25">
      <c r="B112" s="227" t="s">
        <v>227</v>
      </c>
      <c r="C112" s="264">
        <v>74</v>
      </c>
      <c r="D112" s="264">
        <v>-109</v>
      </c>
      <c r="E112" s="265">
        <v>328</v>
      </c>
      <c r="F112" s="265">
        <v>231</v>
      </c>
      <c r="G112" s="265">
        <v>430</v>
      </c>
      <c r="H112" s="265">
        <v>782</v>
      </c>
    </row>
    <row r="113" spans="2:8" hidden="1" outlineLevel="1" x14ac:dyDescent="0.25">
      <c r="B113" s="227" t="s">
        <v>228</v>
      </c>
      <c r="C113" s="264">
        <v>56</v>
      </c>
      <c r="D113" s="264">
        <v>81</v>
      </c>
      <c r="E113" s="265">
        <v>134</v>
      </c>
      <c r="F113" s="265">
        <v>98</v>
      </c>
      <c r="G113" s="265">
        <v>184</v>
      </c>
      <c r="H113" s="265">
        <v>201</v>
      </c>
    </row>
    <row r="114" spans="2:8" hidden="1" outlineLevel="1" x14ac:dyDescent="0.25">
      <c r="B114" s="227" t="s">
        <v>229</v>
      </c>
      <c r="C114" s="264">
        <v>608</v>
      </c>
      <c r="D114" s="264">
        <v>756</v>
      </c>
      <c r="E114" s="265">
        <v>857</v>
      </c>
      <c r="F114" s="265">
        <v>926</v>
      </c>
      <c r="G114" s="265">
        <v>634</v>
      </c>
      <c r="H114" s="265">
        <v>514</v>
      </c>
    </row>
    <row r="115" spans="2:8" hidden="1" outlineLevel="1" x14ac:dyDescent="0.25">
      <c r="B115" s="228" t="s">
        <v>230</v>
      </c>
      <c r="C115" s="266">
        <f t="shared" ref="C115:D115" si="158">SUM(C112:C114)</f>
        <v>738</v>
      </c>
      <c r="D115" s="266">
        <f t="shared" si="158"/>
        <v>728</v>
      </c>
      <c r="E115" s="266">
        <f>SUM(E112:E114)</f>
        <v>1319</v>
      </c>
      <c r="F115" s="266">
        <f t="shared" ref="F115:H115" si="159">SUM(F112:F114)</f>
        <v>1255</v>
      </c>
      <c r="G115" s="266">
        <f t="shared" si="159"/>
        <v>1248</v>
      </c>
      <c r="H115" s="266">
        <f t="shared" si="159"/>
        <v>1497</v>
      </c>
    </row>
    <row r="116" spans="2:8" hidden="1" outlineLevel="1" x14ac:dyDescent="0.25">
      <c r="B116" s="227" t="s">
        <v>231</v>
      </c>
      <c r="C116" s="229">
        <f t="shared" ref="C116:F116" si="160">C115/C109</f>
        <v>0.15371797542178714</v>
      </c>
      <c r="D116" s="229">
        <f t="shared" si="160"/>
        <v>0.25216487703498441</v>
      </c>
      <c r="E116" s="229">
        <f t="shared" si="160"/>
        <v>0.19801831556823299</v>
      </c>
      <c r="F116" s="229">
        <f t="shared" si="160"/>
        <v>0.18869342955946475</v>
      </c>
      <c r="G116" s="73">
        <f>G115/G109</f>
        <v>0.20125786163522014</v>
      </c>
      <c r="H116" s="73">
        <f>H115/H109</f>
        <v>0.22343283582089551</v>
      </c>
    </row>
    <row r="117" spans="2:8" hidden="1" outlineLevel="1" x14ac:dyDescent="0.25">
      <c r="B117" s="227"/>
      <c r="C117" s="264"/>
      <c r="D117" s="264"/>
      <c r="E117" s="265"/>
      <c r="F117" s="265"/>
      <c r="G117" s="265"/>
      <c r="H117" s="265"/>
    </row>
    <row r="118" spans="2:8" hidden="1" outlineLevel="1" x14ac:dyDescent="0.25">
      <c r="B118" s="227" t="s">
        <v>232</v>
      </c>
      <c r="C118" s="264">
        <v>-33</v>
      </c>
      <c r="D118" s="264">
        <v>-231</v>
      </c>
      <c r="E118" s="265">
        <v>-371</v>
      </c>
      <c r="F118" s="265">
        <v>-522</v>
      </c>
      <c r="G118" s="265">
        <v>-162</v>
      </c>
      <c r="H118" s="265">
        <v>-422</v>
      </c>
    </row>
    <row r="119" spans="2:8" hidden="1" outlineLevel="1" x14ac:dyDescent="0.25">
      <c r="B119" s="227" t="s">
        <v>233</v>
      </c>
      <c r="C119" s="264">
        <v>-9</v>
      </c>
      <c r="D119" s="264">
        <v>-47</v>
      </c>
      <c r="E119" s="265">
        <v>-34</v>
      </c>
      <c r="F119" s="265">
        <v>-16</v>
      </c>
      <c r="G119" s="265">
        <v>-25</v>
      </c>
      <c r="H119" s="265">
        <v>-61</v>
      </c>
    </row>
    <row r="120" spans="2:8" hidden="1" outlineLevel="1" x14ac:dyDescent="0.25">
      <c r="B120" s="230" t="s">
        <v>234</v>
      </c>
      <c r="C120" s="267">
        <v>76</v>
      </c>
      <c r="D120" s="267">
        <v>-102</v>
      </c>
      <c r="E120" s="268">
        <v>20</v>
      </c>
      <c r="F120" s="268">
        <v>-112</v>
      </c>
      <c r="G120" s="268">
        <v>70</v>
      </c>
      <c r="H120" s="268">
        <v>-14</v>
      </c>
    </row>
    <row r="121" spans="2:8" hidden="1" outlineLevel="1" x14ac:dyDescent="0.25">
      <c r="B121" s="227" t="s">
        <v>235</v>
      </c>
      <c r="C121" s="265">
        <f t="shared" ref="C121:D121" si="161">SUM(C118:C120)</f>
        <v>34</v>
      </c>
      <c r="D121" s="265">
        <f t="shared" si="161"/>
        <v>-380</v>
      </c>
      <c r="E121" s="265">
        <f>SUM(E118:E120)</f>
        <v>-385</v>
      </c>
      <c r="F121" s="265">
        <f>SUM(F118:F120)</f>
        <v>-650</v>
      </c>
      <c r="G121" s="265">
        <f>SUM(G118:G120)</f>
        <v>-117</v>
      </c>
      <c r="H121" s="265">
        <f>SUM(H118:H120)</f>
        <v>-497</v>
      </c>
    </row>
    <row r="122" spans="2:8" ht="13.8" hidden="1" outlineLevel="1" thickBot="1" x14ac:dyDescent="0.3">
      <c r="B122" s="231" t="s">
        <v>236</v>
      </c>
      <c r="C122" s="269">
        <f>SUM(C115:C120)</f>
        <v>772.15371797542184</v>
      </c>
      <c r="D122" s="269">
        <f t="shared" ref="D122" si="162">SUM(D115:D120)</f>
        <v>348.25216487703494</v>
      </c>
      <c r="E122" s="270">
        <f>SUM(E115:E120)</f>
        <v>934.19801831556833</v>
      </c>
      <c r="F122" s="270">
        <f>SUM(F115:F120)</f>
        <v>605.18869342955941</v>
      </c>
      <c r="G122" s="270">
        <f t="shared" ref="G122:H122" si="163">SUM(G115:G120)</f>
        <v>1131.2012578616352</v>
      </c>
      <c r="H122" s="270">
        <f t="shared" si="163"/>
        <v>1000.2234328358209</v>
      </c>
    </row>
    <row r="123" spans="2:8" ht="13.8" hidden="1" outlineLevel="1" thickTop="1" x14ac:dyDescent="0.25">
      <c r="B123" s="22"/>
      <c r="C123" s="271"/>
      <c r="D123" s="271"/>
      <c r="E123" s="263"/>
      <c r="F123" s="263"/>
      <c r="G123" s="263"/>
      <c r="H123" s="263"/>
    </row>
    <row r="124" spans="2:8" hidden="1" outlineLevel="1" x14ac:dyDescent="0.25">
      <c r="B124" s="22" t="s">
        <v>237</v>
      </c>
      <c r="C124" s="232">
        <v>0.21</v>
      </c>
      <c r="D124" s="232">
        <v>0.21</v>
      </c>
      <c r="E124" s="232">
        <v>0.21</v>
      </c>
      <c r="F124" s="232">
        <v>0.21</v>
      </c>
      <c r="G124" s="232">
        <v>0.21</v>
      </c>
      <c r="H124" s="232">
        <v>0.21</v>
      </c>
    </row>
    <row r="125" spans="2:8" hidden="1" outlineLevel="1" x14ac:dyDescent="0.25">
      <c r="B125" s="227" t="s">
        <v>238</v>
      </c>
      <c r="C125" s="73">
        <v>0.01</v>
      </c>
      <c r="D125" s="73">
        <v>8.0000000000000002E-3</v>
      </c>
      <c r="E125" s="73">
        <v>1.2999999999999999E-2</v>
      </c>
      <c r="F125" s="73">
        <v>1.4E-2</v>
      </c>
      <c r="G125" s="73">
        <v>1.4999999999999999E-2</v>
      </c>
      <c r="H125" s="73">
        <v>1.4E-2</v>
      </c>
    </row>
    <row r="126" spans="2:8" hidden="1" outlineLevel="1" x14ac:dyDescent="0.25">
      <c r="B126" s="227" t="s">
        <v>239</v>
      </c>
      <c r="C126" s="73">
        <v>-1.0999999999999999E-2</v>
      </c>
      <c r="D126" s="73">
        <v>5.8999999999999997E-2</v>
      </c>
      <c r="E126" s="73">
        <v>2E-3</v>
      </c>
      <c r="F126" s="73">
        <v>-1.7999999999999999E-2</v>
      </c>
      <c r="G126" s="73">
        <v>1.7000000000000001E-2</v>
      </c>
      <c r="H126" s="73">
        <v>-2.5000000000000001E-2</v>
      </c>
    </row>
    <row r="127" spans="2:8" hidden="1" outlineLevel="1" x14ac:dyDescent="0.25">
      <c r="B127" s="227" t="s">
        <v>240</v>
      </c>
      <c r="C127" s="73">
        <v>0</v>
      </c>
      <c r="D127" s="73">
        <v>0</v>
      </c>
      <c r="E127" s="73">
        <v>0</v>
      </c>
      <c r="F127" s="73">
        <v>0</v>
      </c>
      <c r="G127" s="73">
        <v>0</v>
      </c>
      <c r="H127" s="73">
        <v>0</v>
      </c>
    </row>
    <row r="128" spans="2:8" hidden="1" outlineLevel="1" x14ac:dyDescent="0.25">
      <c r="B128" s="227" t="s">
        <v>241</v>
      </c>
      <c r="C128" s="73">
        <v>0</v>
      </c>
      <c r="D128" s="73">
        <v>0</v>
      </c>
      <c r="E128" s="73">
        <v>0</v>
      </c>
      <c r="F128" s="73">
        <v>0</v>
      </c>
      <c r="G128" s="73">
        <v>0</v>
      </c>
      <c r="H128" s="73">
        <v>0</v>
      </c>
    </row>
    <row r="129" spans="2:8" hidden="1" outlineLevel="1" x14ac:dyDescent="0.25">
      <c r="B129" s="227" t="s">
        <v>242</v>
      </c>
      <c r="C129" s="73">
        <v>0</v>
      </c>
      <c r="D129" s="73">
        <v>0</v>
      </c>
      <c r="E129" s="73">
        <v>0</v>
      </c>
      <c r="F129" s="73">
        <v>-4.7E-2</v>
      </c>
      <c r="G129" s="73">
        <v>0</v>
      </c>
      <c r="H129" s="73">
        <v>0</v>
      </c>
    </row>
    <row r="130" spans="2:8" hidden="1" outlineLevel="1" x14ac:dyDescent="0.25">
      <c r="B130" s="227" t="s">
        <v>243</v>
      </c>
      <c r="C130" s="73">
        <v>0</v>
      </c>
      <c r="D130" s="73">
        <v>-8.1000000000000003E-2</v>
      </c>
      <c r="E130" s="73">
        <v>-3.6999999999999998E-2</v>
      </c>
      <c r="F130" s="73">
        <v>-4.1000000000000002E-2</v>
      </c>
      <c r="G130" s="73">
        <v>-6.0999999999999999E-2</v>
      </c>
      <c r="H130" s="73">
        <v>-4.8000000000000001E-2</v>
      </c>
    </row>
    <row r="131" spans="2:8" hidden="1" outlineLevel="1" x14ac:dyDescent="0.25">
      <c r="B131" s="227" t="s">
        <v>244</v>
      </c>
      <c r="C131" s="73">
        <v>-3.5999999999999997E-2</v>
      </c>
      <c r="D131" s="73">
        <v>-7.1999999999999995E-2</v>
      </c>
      <c r="E131" s="73">
        <v>-4.4999999999999998E-2</v>
      </c>
      <c r="F131" s="73">
        <v>-4.9000000000000002E-2</v>
      </c>
      <c r="G131" s="73">
        <v>-1.0999999999999999E-2</v>
      </c>
      <c r="H131" s="73">
        <v>-5.0000000000000001E-3</v>
      </c>
    </row>
    <row r="132" spans="2:8" hidden="1" outlineLevel="1" x14ac:dyDescent="0.25">
      <c r="B132" s="227" t="s">
        <v>245</v>
      </c>
      <c r="C132" s="73">
        <v>1.2999999999999999E-2</v>
      </c>
      <c r="D132" s="73">
        <v>-1.4E-2</v>
      </c>
      <c r="E132" s="73">
        <v>1.4999999999999999E-2</v>
      </c>
      <c r="F132" s="73">
        <v>1.4999999999999999E-2</v>
      </c>
      <c r="G132" s="73">
        <v>0.01</v>
      </c>
      <c r="H132" s="73">
        <v>1.7999999999999999E-2</v>
      </c>
    </row>
    <row r="133" spans="2:8" hidden="1" outlineLevel="1" x14ac:dyDescent="0.25">
      <c r="B133" s="227" t="s">
        <v>246</v>
      </c>
      <c r="C133" s="73">
        <v>0</v>
      </c>
      <c r="D133" s="73">
        <v>0</v>
      </c>
      <c r="E133" s="73">
        <v>0</v>
      </c>
      <c r="F133" s="73">
        <v>0</v>
      </c>
      <c r="G133" s="73">
        <v>0</v>
      </c>
      <c r="H133" s="73">
        <v>0</v>
      </c>
    </row>
    <row r="134" spans="2:8" hidden="1" outlineLevel="1" x14ac:dyDescent="0.25">
      <c r="B134" s="227" t="s">
        <v>247</v>
      </c>
      <c r="C134" s="73">
        <v>-0.01</v>
      </c>
      <c r="D134" s="73">
        <v>-1.7999999999999999E-2</v>
      </c>
      <c r="E134" s="73">
        <v>-8.9999999999999993E-3</v>
      </c>
      <c r="F134" s="73">
        <v>-0.01</v>
      </c>
      <c r="G134" s="73">
        <v>-1.2E-2</v>
      </c>
      <c r="H134" s="73">
        <v>-2.1000000000000001E-2</v>
      </c>
    </row>
    <row r="135" spans="2:8" hidden="1" outlineLevel="1" x14ac:dyDescent="0.25">
      <c r="B135" s="227" t="s">
        <v>248</v>
      </c>
      <c r="C135" s="73">
        <v>-1.4999999999999999E-2</v>
      </c>
      <c r="D135" s="73">
        <v>2.9000000000000001E-2</v>
      </c>
      <c r="E135" s="73">
        <v>-8.9999999999999993E-3</v>
      </c>
      <c r="F135" s="73">
        <v>1.7000000000000001E-2</v>
      </c>
      <c r="G135" s="73">
        <v>1.4E-2</v>
      </c>
      <c r="H135" s="73">
        <v>6.0000000000000001E-3</v>
      </c>
    </row>
    <row r="136" spans="2:8" ht="14.4" collapsed="1" thickTop="1" thickBot="1" x14ac:dyDescent="0.3">
      <c r="B136" s="231" t="s">
        <v>249</v>
      </c>
      <c r="C136" s="233">
        <f t="shared" ref="C136:D136" si="164">SUM(C124:C135)</f>
        <v>0.16099999999999998</v>
      </c>
      <c r="D136" s="233">
        <f t="shared" si="164"/>
        <v>0.12100000000000001</v>
      </c>
      <c r="E136" s="233">
        <f>SUM(E124:E135)</f>
        <v>0.14000000000000001</v>
      </c>
      <c r="F136" s="233">
        <f>SUM(F124:F135)</f>
        <v>9.1000000000000025E-2</v>
      </c>
      <c r="G136" s="233">
        <f>SUM(G124:G135)</f>
        <v>0.182</v>
      </c>
      <c r="H136" s="233">
        <f>SUM(H124:H135)</f>
        <v>0.14900000000000002</v>
      </c>
    </row>
    <row r="137" spans="2:8" ht="13.8" thickTop="1" x14ac:dyDescent="0.25"/>
    <row r="138" spans="2:8" x14ac:dyDescent="0.25">
      <c r="C138" s="211"/>
      <c r="D138" s="211"/>
      <c r="E138" s="211"/>
      <c r="F138" s="211"/>
      <c r="G138" s="211"/>
      <c r="H138" s="211"/>
    </row>
    <row r="140" spans="2:8" x14ac:dyDescent="0.25">
      <c r="H140" s="323"/>
    </row>
  </sheetData>
  <dataConsolidate/>
  <conditionalFormatting sqref="P1:AA138">
    <cfRule type="expression" dxfId="36" priority="1">
      <formula>_xlfn.ISFORMULA(P1)</formula>
    </cfRule>
  </conditionalFormatting>
  <conditionalFormatting sqref="P2:AA2 B2:Q5 B7:Q7 B8:AA9 R10:AA10 B10:Q55 K18:AA18 Q46:AA46 R50:AA50 K51:AA51 P52:AA52 B56:AA56 B57:Q58 B59:AA59 B60:Q63 P63:AA63 B64:AA64 B65:Q138 P68:AA69 P72:AA72 P74:AA75 R90:AA90 B6:O6">
    <cfRule type="expression" dxfId="35" priority="2">
      <formula>_xlfn.ISFORMULA(B2)</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B2:O24"/>
  <sheetViews>
    <sheetView showGridLines="0" topLeftCell="B1" workbookViewId="0">
      <selection activeCell="N22" sqref="N22"/>
    </sheetView>
  </sheetViews>
  <sheetFormatPr defaultColWidth="9.33203125" defaultRowHeight="13.2" x14ac:dyDescent="0.25"/>
  <cols>
    <col min="1" max="1" width="9.33203125" style="22"/>
    <col min="2" max="2" width="50" style="22" customWidth="1"/>
    <col min="3" max="15" width="13.109375" style="22" customWidth="1"/>
    <col min="16" max="16" width="13.5546875" style="22" customWidth="1"/>
    <col min="17" max="2006" width="9.33203125" style="22"/>
    <col min="2007" max="2007" width="2.33203125" style="22" customWidth="1"/>
    <col min="2008" max="16384" width="9.33203125" style="22"/>
  </cols>
  <sheetData>
    <row r="2" spans="2:15" x14ac:dyDescent="0.25">
      <c r="B2" s="20" t="s">
        <v>12</v>
      </c>
      <c r="C2" s="21">
        <v>2024</v>
      </c>
      <c r="D2" s="21">
        <v>2025</v>
      </c>
      <c r="E2" s="21">
        <v>2026</v>
      </c>
      <c r="F2" s="21">
        <v>2027</v>
      </c>
      <c r="G2" s="21">
        <v>2028</v>
      </c>
      <c r="H2" s="21">
        <v>2029</v>
      </c>
      <c r="I2" s="21">
        <v>2030</v>
      </c>
      <c r="J2" s="21">
        <v>2031</v>
      </c>
      <c r="K2" s="21">
        <v>2032</v>
      </c>
      <c r="L2" s="21">
        <v>2033</v>
      </c>
      <c r="M2" s="21">
        <v>2034</v>
      </c>
      <c r="N2" s="21">
        <v>2035</v>
      </c>
      <c r="O2" s="21" t="s">
        <v>13</v>
      </c>
    </row>
    <row r="3" spans="2:15" x14ac:dyDescent="0.25">
      <c r="B3" s="23" t="s">
        <v>0</v>
      </c>
      <c r="C3" s="275">
        <f>DATA!H6</f>
        <v>51362</v>
      </c>
      <c r="D3" s="275">
        <f>C3*(1+DATA!P6)</f>
        <v>52389.24</v>
      </c>
      <c r="E3" s="275">
        <f>D3*(1+DATA!Q6)</f>
        <v>53786.286399999997</v>
      </c>
      <c r="F3" s="275">
        <f>E3*(1+DATA!R6)</f>
        <v>55638.925153777775</v>
      </c>
      <c r="G3" s="275">
        <f>F3*(1+DATA!S6)</f>
        <v>57940.041194088342</v>
      </c>
      <c r="H3" s="275">
        <f>G3*(1+DATA!T6)</f>
        <v>60614.502629178969</v>
      </c>
      <c r="I3" s="275">
        <f>H3*(1+DATA!U6)</f>
        <v>63567.623459146518</v>
      </c>
      <c r="J3" s="275">
        <f>I3*(1+DATA!V6)</f>
        <v>66727.919040914931</v>
      </c>
      <c r="K3" s="275">
        <f>J3*(1+DATA!W6)</f>
        <v>70064.314992960673</v>
      </c>
      <c r="L3" s="275">
        <f>K3*(1+DATA!X6)</f>
        <v>73567.530742608709</v>
      </c>
      <c r="M3" s="275">
        <f>L3*(1+DATA!Y6)</f>
        <v>77245.907279739142</v>
      </c>
      <c r="N3" s="275">
        <f>M3*(1+DATA!Z6)</f>
        <v>81108.202643726108</v>
      </c>
      <c r="O3" s="275">
        <f>N3*(1+DATA!AA6)</f>
        <v>85163.612775912421</v>
      </c>
    </row>
    <row r="4" spans="2:15" x14ac:dyDescent="0.25">
      <c r="B4" s="23" t="s">
        <v>163</v>
      </c>
      <c r="C4" s="276">
        <f>DATA!H8</f>
        <v>-28475</v>
      </c>
      <c r="D4" s="276">
        <f>-D$3*DATA!P8</f>
        <v>-29077.648760860218</v>
      </c>
      <c r="E4" s="276">
        <f>-E$3*DATA!Q8</f>
        <v>-29853.052727816492</v>
      </c>
      <c r="F4" s="276">
        <f>-F$3*DATA!R8</f>
        <v>-30881.324543996838</v>
      </c>
      <c r="G4" s="276">
        <f>-G$3*DATA!S8</f>
        <v>-32158.515126989303</v>
      </c>
      <c r="H4" s="276">
        <f>-H$3*DATA!T8</f>
        <v>-33642.923952809862</v>
      </c>
      <c r="I4" s="276">
        <f>-I$3*DATA!U8</f>
        <v>-35281.9973625821</v>
      </c>
      <c r="J4" s="276">
        <f>-J$3*DATA!V8</f>
        <v>-37036.059168158215</v>
      </c>
      <c r="K4" s="276">
        <f>-K$3*DATA!W8</f>
        <v>-38887.862126566128</v>
      </c>
      <c r="L4" s="276">
        <f>-L$3*DATA!X8</f>
        <v>-40832.255232894429</v>
      </c>
      <c r="M4" s="276">
        <f>-M$3*DATA!Y8</f>
        <v>-42873.867994539149</v>
      </c>
      <c r="N4" s="276">
        <f>-N$3*DATA!Z8</f>
        <v>-45017.561394266115</v>
      </c>
      <c r="O4" s="276">
        <f>-O$3*DATA!AA8</f>
        <v>-47268.439463979426</v>
      </c>
    </row>
    <row r="5" spans="2:15" x14ac:dyDescent="0.25">
      <c r="B5" s="23" t="s">
        <v>291</v>
      </c>
      <c r="C5" s="276">
        <f>DATA!H9+(-DATA!K103)</f>
        <v>-15732</v>
      </c>
      <c r="D5" s="276">
        <f>-D$3*DATA!P9</f>
        <v>-15805.080412925674</v>
      </c>
      <c r="E5" s="276">
        <f>-E$3*DATA!Q9</f>
        <v>-16226.549223937025</v>
      </c>
      <c r="F5" s="276">
        <f>-F$3*DATA!R9</f>
        <v>-16785.463697205967</v>
      </c>
      <c r="G5" s="276">
        <f>-G$3*DATA!S9</f>
        <v>-17479.677319250906</v>
      </c>
      <c r="H5" s="276">
        <f>-H$3*DATA!T9</f>
        <v>-18286.52387863745</v>
      </c>
      <c r="I5" s="276">
        <f>-I$3*DATA!U9</f>
        <v>-19177.437970667092</v>
      </c>
      <c r="J5" s="276">
        <f>-J$3*DATA!V9</f>
        <v>-20130.853706388083</v>
      </c>
      <c r="K5" s="276">
        <f>-K$3*DATA!W9</f>
        <v>-21137.396391707483</v>
      </c>
      <c r="L5" s="276">
        <f>-L$3*DATA!X9</f>
        <v>-22194.266211292859</v>
      </c>
      <c r="M5" s="276">
        <f>-M$3*DATA!Y9</f>
        <v>-23303.979521857502</v>
      </c>
      <c r="N5" s="276">
        <f>-N$3*DATA!Z9</f>
        <v>-24469.178497950379</v>
      </c>
      <c r="O5" s="276">
        <f>-O$3*DATA!AA9</f>
        <v>-25692.6374228479</v>
      </c>
    </row>
    <row r="6" spans="2:15" x14ac:dyDescent="0.25">
      <c r="B6" s="25" t="s">
        <v>1</v>
      </c>
      <c r="C6" s="26">
        <f>DATA!H10</f>
        <v>-796</v>
      </c>
      <c r="D6" s="26">
        <f>-Balance!C10*DATA!P10</f>
        <v>-754.48181824325025</v>
      </c>
      <c r="E6" s="26">
        <f>-Balance!D10*DATA!Q10</f>
        <v>-772.96714589760381</v>
      </c>
      <c r="F6" s="26">
        <f>-Balance!E10*DATA!R10</f>
        <v>-799.59156981185458</v>
      </c>
      <c r="G6" s="26">
        <f>-Balance!F10*DATA!S10</f>
        <v>-832.66109769913521</v>
      </c>
      <c r="H6" s="26">
        <f>-Balance!G10*DATA!T10</f>
        <v>-871.0960029632995</v>
      </c>
      <c r="I6" s="26">
        <f>-Balance!H10*DATA!U10</f>
        <v>-913.53554531160296</v>
      </c>
      <c r="J6" s="26">
        <f>-Balance!I10*DATA!V10</f>
        <v>-958.95241305862669</v>
      </c>
      <c r="K6" s="26">
        <f>-Balance!J10*DATA!W10</f>
        <v>-1006.900033711558</v>
      </c>
      <c r="L6" s="26">
        <f>-Balance!K10*DATA!X10</f>
        <v>-1057.2450353971358</v>
      </c>
      <c r="M6" s="26">
        <f>-Balance!L10*DATA!Y10</f>
        <v>-1110.1072871669926</v>
      </c>
      <c r="N6" s="26">
        <f>-Balance!M10*DATA!Z10</f>
        <v>-1165.6126515253422</v>
      </c>
      <c r="O6" s="26">
        <f>-Balance!N10*DATA!AA10</f>
        <v>-1223.8932841016097</v>
      </c>
    </row>
    <row r="7" spans="2:15" x14ac:dyDescent="0.25">
      <c r="B7" s="23" t="s">
        <v>2</v>
      </c>
      <c r="C7" s="24">
        <f>SUM(C3:C6)</f>
        <v>6359</v>
      </c>
      <c r="D7" s="24">
        <f t="shared" ref="D7:O7" si="0">SUM(D3:D6)</f>
        <v>6752.0290079708557</v>
      </c>
      <c r="E7" s="24">
        <f t="shared" si="0"/>
        <v>6933.7173023488767</v>
      </c>
      <c r="F7" s="24">
        <f t="shared" si="0"/>
        <v>7172.5453427631155</v>
      </c>
      <c r="G7" s="24">
        <f t="shared" si="0"/>
        <v>7469.1876501489978</v>
      </c>
      <c r="H7" s="24">
        <f t="shared" si="0"/>
        <v>7813.9587947683567</v>
      </c>
      <c r="I7" s="24">
        <f t="shared" si="0"/>
        <v>8194.6525805857236</v>
      </c>
      <c r="J7" s="24">
        <f t="shared" si="0"/>
        <v>8602.053753310005</v>
      </c>
      <c r="K7" s="24">
        <f t="shared" si="0"/>
        <v>9032.1564409755047</v>
      </c>
      <c r="L7" s="24">
        <f t="shared" si="0"/>
        <v>9483.7642630242844</v>
      </c>
      <c r="M7" s="24">
        <f t="shared" si="0"/>
        <v>9957.9524761754983</v>
      </c>
      <c r="N7" s="24">
        <f t="shared" si="0"/>
        <v>10455.850099984273</v>
      </c>
      <c r="O7" s="24">
        <f t="shared" si="0"/>
        <v>10978.642604983484</v>
      </c>
    </row>
    <row r="8" spans="2:15" x14ac:dyDescent="0.25">
      <c r="B8" s="23"/>
      <c r="C8" s="24"/>
      <c r="D8" s="24"/>
      <c r="E8" s="24"/>
      <c r="F8" s="24"/>
      <c r="G8" s="24"/>
      <c r="H8" s="24"/>
      <c r="I8" s="24"/>
      <c r="J8" s="24"/>
      <c r="K8" s="24"/>
      <c r="L8" s="24"/>
      <c r="M8" s="24"/>
      <c r="N8" s="24"/>
      <c r="O8" s="24"/>
    </row>
    <row r="9" spans="2:15" x14ac:dyDescent="0.25">
      <c r="B9" s="23" t="s">
        <v>3</v>
      </c>
      <c r="C9" s="24">
        <f>DATA!H13</f>
        <v>161</v>
      </c>
      <c r="D9" s="275">
        <f>-WACC!$C$11*(Balance!C23+Balance!C17)</f>
        <v>-416.05029999999999</v>
      </c>
      <c r="E9" s="275">
        <f>-WACC!$C$11*(Balance!D23+Balance!D17)</f>
        <v>-422.71102134896796</v>
      </c>
      <c r="F9" s="275">
        <f>-WACC!$C$11*(Balance!E23+Balance!E17)</f>
        <v>-461.93634885737293</v>
      </c>
      <c r="G9" s="275">
        <f>-WACC!$C$11*(Balance!F23+Balance!F17)</f>
        <v>-505.03121732574266</v>
      </c>
      <c r="H9" s="275">
        <f>-WACC!$C$11*(Balance!G23+Balance!G17)</f>
        <v>-552.34855297505089</v>
      </c>
      <c r="I9" s="275">
        <f>-WACC!$C$11*(Balance!H23+Balance!H17)</f>
        <v>-604.25157990286596</v>
      </c>
      <c r="J9" s="275">
        <f>-WACC!$C$11*(Balance!I23+Balance!I17)</f>
        <v>-661.13399958601735</v>
      </c>
      <c r="K9" s="275">
        <f>-WACC!$C$11*(Balance!J23+Balance!J17)</f>
        <v>-723.43849027914496</v>
      </c>
      <c r="L9" s="275">
        <f>-WACC!$C$11*(Balance!K23+Balance!K17)</f>
        <v>-791.66663018118459</v>
      </c>
      <c r="M9" s="275">
        <f>-WACC!$C$11*(Balance!L23+Balance!L17)</f>
        <v>-866.3766887508483</v>
      </c>
      <c r="N9" s="275">
        <f>-WACC!$C$11*(Balance!M23+Balance!M17)</f>
        <v>-948.18687156037981</v>
      </c>
      <c r="O9" s="275">
        <f>-WACC!$C$11*(Balance!N23+Balance!N17)</f>
        <v>-1037.7744658173656</v>
      </c>
    </row>
    <row r="10" spans="2:15" x14ac:dyDescent="0.25">
      <c r="B10" s="23" t="s">
        <v>296</v>
      </c>
      <c r="C10" s="24">
        <f>DATA!H14</f>
        <v>0</v>
      </c>
      <c r="D10" s="275">
        <v>0</v>
      </c>
      <c r="E10" s="275">
        <v>0</v>
      </c>
      <c r="F10" s="275">
        <v>0</v>
      </c>
      <c r="G10" s="275">
        <v>0</v>
      </c>
      <c r="H10" s="275">
        <v>0</v>
      </c>
      <c r="I10" s="275">
        <v>0</v>
      </c>
      <c r="J10" s="275">
        <v>0</v>
      </c>
      <c r="K10" s="275">
        <v>0</v>
      </c>
      <c r="L10" s="275">
        <v>0</v>
      </c>
      <c r="M10" s="275">
        <v>0</v>
      </c>
      <c r="N10" s="275">
        <v>0</v>
      </c>
      <c r="O10" s="275">
        <v>0</v>
      </c>
    </row>
    <row r="11" spans="2:15" x14ac:dyDescent="0.25">
      <c r="B11" s="25" t="s">
        <v>168</v>
      </c>
      <c r="C11" s="26">
        <f>DATA!H15</f>
        <v>228</v>
      </c>
      <c r="D11" s="279">
        <v>0</v>
      </c>
      <c r="E11" s="279">
        <v>0</v>
      </c>
      <c r="F11" s="279">
        <v>0</v>
      </c>
      <c r="G11" s="279">
        <v>0</v>
      </c>
      <c r="H11" s="279">
        <v>0</v>
      </c>
      <c r="I11" s="279">
        <v>0</v>
      </c>
      <c r="J11" s="279">
        <v>0</v>
      </c>
      <c r="K11" s="279">
        <v>0</v>
      </c>
      <c r="L11" s="279">
        <v>0</v>
      </c>
      <c r="M11" s="279">
        <v>0</v>
      </c>
      <c r="N11" s="279">
        <v>0</v>
      </c>
      <c r="O11" s="279">
        <v>0</v>
      </c>
    </row>
    <row r="12" spans="2:15" x14ac:dyDescent="0.25">
      <c r="B12" s="23" t="s">
        <v>11</v>
      </c>
      <c r="C12" s="275">
        <f>SUM(C7:C11)</f>
        <v>6748</v>
      </c>
      <c r="D12" s="275">
        <f t="shared" ref="D12:F12" si="1">SUM(D7:D11)</f>
        <v>6335.9787079708558</v>
      </c>
      <c r="E12" s="275">
        <f t="shared" si="1"/>
        <v>6511.006280999909</v>
      </c>
      <c r="F12" s="275">
        <f t="shared" si="1"/>
        <v>6710.6089939057429</v>
      </c>
      <c r="G12" s="275">
        <f t="shared" ref="G12" si="2">SUM(G7:G11)</f>
        <v>6964.1564328232553</v>
      </c>
      <c r="H12" s="275">
        <f t="shared" ref="H12:I12" si="3">SUM(H7:H11)</f>
        <v>7261.6102417933062</v>
      </c>
      <c r="I12" s="275">
        <f t="shared" si="3"/>
        <v>7590.4010006828576</v>
      </c>
      <c r="J12" s="275">
        <f t="shared" ref="J12" si="4">SUM(J7:J11)</f>
        <v>7940.9197537239879</v>
      </c>
      <c r="K12" s="275">
        <f t="shared" ref="K12:L12" si="5">SUM(K7:K11)</f>
        <v>8308.7179506963603</v>
      </c>
      <c r="L12" s="275">
        <f t="shared" si="5"/>
        <v>8692.0976328431007</v>
      </c>
      <c r="M12" s="275">
        <f t="shared" ref="M12" si="6">SUM(M7:M11)</f>
        <v>9091.5757874246501</v>
      </c>
      <c r="N12" s="275">
        <f t="shared" ref="N12:O12" si="7">SUM(N7:N11)</f>
        <v>9507.6632284238931</v>
      </c>
      <c r="O12" s="275">
        <f t="shared" si="7"/>
        <v>9940.8681391661194</v>
      </c>
    </row>
    <row r="13" spans="2:15" x14ac:dyDescent="0.25">
      <c r="B13" s="23"/>
      <c r="C13" s="24"/>
      <c r="D13" s="24"/>
      <c r="E13" s="24"/>
      <c r="F13" s="24"/>
      <c r="G13" s="24"/>
      <c r="H13" s="24"/>
      <c r="I13" s="24"/>
      <c r="J13" s="24"/>
      <c r="K13" s="24"/>
      <c r="L13" s="24"/>
      <c r="M13" s="24"/>
      <c r="N13" s="24"/>
      <c r="O13" s="24"/>
    </row>
    <row r="14" spans="2:15" ht="13.2" customHeight="1" x14ac:dyDescent="0.25">
      <c r="B14" s="23" t="s">
        <v>4</v>
      </c>
      <c r="C14" s="24">
        <f>DATA!H18</f>
        <v>-1000</v>
      </c>
      <c r="D14" s="12">
        <f>-D12*DATA!P18</f>
        <v>-836.94048659157636</v>
      </c>
      <c r="E14" s="12">
        <f>-E12*DATA!Q18</f>
        <v>-860.06046045663891</v>
      </c>
      <c r="F14" s="12">
        <f>-F12*DATA!R18</f>
        <v>-886.42664622905102</v>
      </c>
      <c r="G14" s="12">
        <f>-G12*DATA!S18</f>
        <v>-919.9185701578217</v>
      </c>
      <c r="H14" s="12">
        <f>-H12*DATA!T18</f>
        <v>-959.21023243956586</v>
      </c>
      <c r="I14" s="12">
        <f>-I12*DATA!U18</f>
        <v>-1002.6412965916047</v>
      </c>
      <c r="J14" s="12">
        <f>-J12*DATA!V18</f>
        <v>-1048.9424837090198</v>
      </c>
      <c r="K14" s="12">
        <f>-K12*DATA!W18</f>
        <v>-1097.5261700074457</v>
      </c>
      <c r="L14" s="12">
        <f>-L12*DATA!X18</f>
        <v>-1148.1680664711375</v>
      </c>
      <c r="M14" s="12">
        <f>-M12*DATA!Y18</f>
        <v>-1200.9364636656512</v>
      </c>
      <c r="N14" s="12">
        <f>-N12*DATA!Z18</f>
        <v>-1255.8988367077911</v>
      </c>
      <c r="O14" s="12">
        <f>-O12*DATA!AA18</f>
        <v>-1313.1223132220571</v>
      </c>
    </row>
    <row r="15" spans="2:15" ht="13.8" thickBot="1" x14ac:dyDescent="0.3">
      <c r="B15" s="29" t="s">
        <v>5</v>
      </c>
      <c r="C15" s="30">
        <f>SUM(C12:C14)</f>
        <v>5748</v>
      </c>
      <c r="D15" s="30">
        <f>SUM(D12:D14)</f>
        <v>5499.0382213792791</v>
      </c>
      <c r="E15" s="30">
        <f t="shared" ref="E15:O15" si="8">SUM(E12:E14)</f>
        <v>5650.9458205432702</v>
      </c>
      <c r="F15" s="30">
        <f t="shared" si="8"/>
        <v>5824.1823476766922</v>
      </c>
      <c r="G15" s="30">
        <f t="shared" si="8"/>
        <v>6044.2378626654336</v>
      </c>
      <c r="H15" s="30">
        <f t="shared" si="8"/>
        <v>6302.4000093537406</v>
      </c>
      <c r="I15" s="30">
        <f t="shared" si="8"/>
        <v>6587.7597040912533</v>
      </c>
      <c r="J15" s="30">
        <f t="shared" si="8"/>
        <v>6891.9772700149679</v>
      </c>
      <c r="K15" s="30">
        <f t="shared" si="8"/>
        <v>7211.1917806889142</v>
      </c>
      <c r="L15" s="30">
        <f t="shared" si="8"/>
        <v>7543.9295663719631</v>
      </c>
      <c r="M15" s="30">
        <f t="shared" si="8"/>
        <v>7890.6393237589991</v>
      </c>
      <c r="N15" s="30">
        <f t="shared" si="8"/>
        <v>8251.7643917161022</v>
      </c>
      <c r="O15" s="30">
        <f t="shared" si="8"/>
        <v>8627.7458259440627</v>
      </c>
    </row>
    <row r="16" spans="2:15" ht="13.8" thickTop="1" x14ac:dyDescent="0.25">
      <c r="B16" s="23"/>
      <c r="C16" s="24"/>
      <c r="D16" s="24"/>
      <c r="E16" s="24"/>
      <c r="F16" s="24"/>
      <c r="G16" s="24"/>
      <c r="H16" s="24"/>
      <c r="I16" s="24"/>
      <c r="J16" s="24"/>
      <c r="K16" s="24"/>
      <c r="L16" s="24"/>
      <c r="M16" s="24"/>
      <c r="N16" s="24"/>
      <c r="O16" s="24"/>
    </row>
    <row r="17" spans="2:15" x14ac:dyDescent="0.25">
      <c r="B17" s="20" t="s">
        <v>6</v>
      </c>
      <c r="C17" s="21">
        <f>C2</f>
        <v>2024</v>
      </c>
      <c r="D17" s="21">
        <f t="shared" ref="D17:O17" si="9">D2</f>
        <v>2025</v>
      </c>
      <c r="E17" s="21">
        <f t="shared" si="9"/>
        <v>2026</v>
      </c>
      <c r="F17" s="21">
        <f t="shared" si="9"/>
        <v>2027</v>
      </c>
      <c r="G17" s="21">
        <f t="shared" si="9"/>
        <v>2028</v>
      </c>
      <c r="H17" s="21">
        <f t="shared" si="9"/>
        <v>2029</v>
      </c>
      <c r="I17" s="21">
        <f t="shared" si="9"/>
        <v>2030</v>
      </c>
      <c r="J17" s="21">
        <f t="shared" si="9"/>
        <v>2031</v>
      </c>
      <c r="K17" s="21">
        <f t="shared" si="9"/>
        <v>2032</v>
      </c>
      <c r="L17" s="21">
        <f t="shared" si="9"/>
        <v>2033</v>
      </c>
      <c r="M17" s="21">
        <f t="shared" si="9"/>
        <v>2034</v>
      </c>
      <c r="N17" s="21">
        <f t="shared" si="9"/>
        <v>2035</v>
      </c>
      <c r="O17" s="21" t="str">
        <f t="shared" si="9"/>
        <v>Continuing</v>
      </c>
    </row>
    <row r="18" spans="2:15" x14ac:dyDescent="0.25">
      <c r="B18" s="23" t="s">
        <v>7</v>
      </c>
      <c r="C18" s="11">
        <f>DATA!H26+(-DATA!J103)</f>
        <v>14749</v>
      </c>
      <c r="D18" s="11">
        <f>C22</f>
        <v>15223</v>
      </c>
      <c r="E18" s="11">
        <f>D22</f>
        <v>15626.03822137928</v>
      </c>
      <c r="F18" s="11">
        <f t="shared" ref="F18:N18" si="10">E22</f>
        <v>16180.984041922551</v>
      </c>
      <c r="G18" s="11">
        <f t="shared" si="10"/>
        <v>16909.166389599242</v>
      </c>
      <c r="H18" s="11">
        <f t="shared" si="10"/>
        <v>17857.404252264678</v>
      </c>
      <c r="I18" s="11">
        <f t="shared" si="10"/>
        <v>19063.804261618418</v>
      </c>
      <c r="J18" s="11">
        <f t="shared" si="10"/>
        <v>20555.563965709669</v>
      </c>
      <c r="K18" s="11">
        <f t="shared" si="10"/>
        <v>22351.541235724639</v>
      </c>
      <c r="L18" s="11">
        <f t="shared" si="10"/>
        <v>24466.733016413553</v>
      </c>
      <c r="M18" s="11">
        <f t="shared" si="10"/>
        <v>26914.662582785517</v>
      </c>
      <c r="N18" s="11">
        <f t="shared" si="10"/>
        <v>29709.301906544519</v>
      </c>
      <c r="O18" s="11"/>
    </row>
    <row r="19" spans="2:15" x14ac:dyDescent="0.25">
      <c r="B19" s="23" t="s">
        <v>5</v>
      </c>
      <c r="C19" s="88">
        <f>C15+DATA!H32</f>
        <v>5570</v>
      </c>
      <c r="D19" s="88">
        <f>D15+DATA!I32</f>
        <v>5499.0382213792791</v>
      </c>
      <c r="E19" s="88">
        <f>E15+DATA!J32</f>
        <v>5650.9458205432702</v>
      </c>
      <c r="F19" s="88">
        <f>F15+DATA!K32</f>
        <v>5824.1823476766922</v>
      </c>
      <c r="G19" s="88">
        <f>G15+DATA!L32</f>
        <v>6044.2378626654336</v>
      </c>
      <c r="H19" s="88">
        <f>H15+DATA!M32</f>
        <v>6302.4000093537406</v>
      </c>
      <c r="I19" s="88">
        <f>I15+DATA!N32</f>
        <v>6587.7597040912533</v>
      </c>
      <c r="J19" s="88">
        <f>J15+DATA!O32</f>
        <v>6891.9772700149679</v>
      </c>
      <c r="K19" s="88">
        <f>K15+DATA!P32</f>
        <v>7211.1917806889142</v>
      </c>
      <c r="L19" s="88">
        <f>L15+DATA!Q32</f>
        <v>7543.9295663719631</v>
      </c>
      <c r="M19" s="88">
        <f>M15+DATA!R32</f>
        <v>7890.6393237589991</v>
      </c>
      <c r="N19" s="88">
        <f>N15+DATA!S32</f>
        <v>8251.7643917161022</v>
      </c>
      <c r="O19" s="11"/>
    </row>
    <row r="20" spans="2:15" x14ac:dyDescent="0.25">
      <c r="B20" s="23" t="s">
        <v>8</v>
      </c>
      <c r="C20" s="11">
        <f>DATA!H41</f>
        <v>-2203</v>
      </c>
      <c r="D20" s="11">
        <f>C20</f>
        <v>-2203</v>
      </c>
      <c r="E20" s="11">
        <f t="shared" ref="E20:N20" si="11">D20</f>
        <v>-2203</v>
      </c>
      <c r="F20" s="11">
        <f t="shared" si="11"/>
        <v>-2203</v>
      </c>
      <c r="G20" s="11">
        <f t="shared" si="11"/>
        <v>-2203</v>
      </c>
      <c r="H20" s="11">
        <f t="shared" si="11"/>
        <v>-2203</v>
      </c>
      <c r="I20" s="11">
        <f t="shared" si="11"/>
        <v>-2203</v>
      </c>
      <c r="J20" s="11">
        <f t="shared" si="11"/>
        <v>-2203</v>
      </c>
      <c r="K20" s="11">
        <f t="shared" si="11"/>
        <v>-2203</v>
      </c>
      <c r="L20" s="11">
        <f t="shared" si="11"/>
        <v>-2203</v>
      </c>
      <c r="M20" s="11">
        <f t="shared" si="11"/>
        <v>-2203</v>
      </c>
      <c r="N20" s="11">
        <f t="shared" si="11"/>
        <v>-2203</v>
      </c>
      <c r="O20" s="11"/>
    </row>
    <row r="21" spans="2:15" ht="13.2" customHeight="1" x14ac:dyDescent="0.25">
      <c r="B21" s="23" t="s">
        <v>9</v>
      </c>
      <c r="C21" s="24">
        <f>SUM(DATA!H35:H43)-C20</f>
        <v>-2893</v>
      </c>
      <c r="D21" s="24">
        <f>C21</f>
        <v>-2893</v>
      </c>
      <c r="E21" s="24">
        <f t="shared" ref="E21:N21" si="12">D21</f>
        <v>-2893</v>
      </c>
      <c r="F21" s="24">
        <f t="shared" si="12"/>
        <v>-2893</v>
      </c>
      <c r="G21" s="24">
        <f t="shared" si="12"/>
        <v>-2893</v>
      </c>
      <c r="H21" s="24">
        <f t="shared" si="12"/>
        <v>-2893</v>
      </c>
      <c r="I21" s="24">
        <f t="shared" si="12"/>
        <v>-2893</v>
      </c>
      <c r="J21" s="24">
        <f t="shared" si="12"/>
        <v>-2893</v>
      </c>
      <c r="K21" s="24">
        <f t="shared" si="12"/>
        <v>-2893</v>
      </c>
      <c r="L21" s="24">
        <f t="shared" si="12"/>
        <v>-2893</v>
      </c>
      <c r="M21" s="24">
        <f t="shared" si="12"/>
        <v>-2893</v>
      </c>
      <c r="N21" s="24">
        <f t="shared" si="12"/>
        <v>-2893</v>
      </c>
      <c r="O21" s="11"/>
    </row>
    <row r="22" spans="2:15" ht="13.8" thickBot="1" x14ac:dyDescent="0.3">
      <c r="B22" s="29" t="s">
        <v>10</v>
      </c>
      <c r="C22" s="30">
        <f>SUM(C18:C21)</f>
        <v>15223</v>
      </c>
      <c r="D22" s="30">
        <f>SUM(D18:D21)</f>
        <v>15626.03822137928</v>
      </c>
      <c r="E22" s="30">
        <f t="shared" ref="E22:N22" si="13">SUM(E18:E21)</f>
        <v>16180.984041922551</v>
      </c>
      <c r="F22" s="30">
        <f t="shared" si="13"/>
        <v>16909.166389599242</v>
      </c>
      <c r="G22" s="30">
        <f t="shared" si="13"/>
        <v>17857.404252264678</v>
      </c>
      <c r="H22" s="30">
        <f t="shared" si="13"/>
        <v>19063.804261618418</v>
      </c>
      <c r="I22" s="30">
        <f t="shared" si="13"/>
        <v>20555.563965709669</v>
      </c>
      <c r="J22" s="30">
        <f t="shared" si="13"/>
        <v>22351.541235724639</v>
      </c>
      <c r="K22" s="30">
        <f t="shared" si="13"/>
        <v>24466.733016413553</v>
      </c>
      <c r="L22" s="30">
        <f t="shared" si="13"/>
        <v>26914.662582785517</v>
      </c>
      <c r="M22" s="30">
        <f t="shared" si="13"/>
        <v>29709.301906544519</v>
      </c>
      <c r="N22" s="30">
        <f t="shared" si="13"/>
        <v>32865.066298260623</v>
      </c>
      <c r="O22" s="11"/>
    </row>
    <row r="23" spans="2:15" ht="13.8" thickTop="1" x14ac:dyDescent="0.25"/>
    <row r="24" spans="2:15" x14ac:dyDescent="0.25">
      <c r="C24" s="278"/>
      <c r="D24" s="207"/>
      <c r="E24" s="207"/>
      <c r="F24" s="207"/>
      <c r="G24" s="207"/>
      <c r="H24" s="207"/>
      <c r="I24" s="207"/>
      <c r="J24" s="207"/>
      <c r="K24" s="207"/>
      <c r="L24" s="207"/>
      <c r="M24" s="207"/>
      <c r="N24" s="207"/>
      <c r="O24" s="207"/>
    </row>
  </sheetData>
  <sheetProtection sheet="1" objects="1" scenarios="1"/>
  <conditionalFormatting sqref="B2:O22">
    <cfRule type="expression" dxfId="34" priority="1">
      <formula>_xlfn.ISFORMULA(B2)</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D9D3C-EA0E-4AEC-9529-4305700FC7A1}">
  <sheetPr>
    <tabColor theme="8" tint="-0.249977111117893"/>
  </sheetPr>
  <dimension ref="A1:O23"/>
  <sheetViews>
    <sheetView showGridLines="0" workbookViewId="0">
      <selection activeCell="P13" sqref="P13"/>
    </sheetView>
  </sheetViews>
  <sheetFormatPr defaultColWidth="20.5546875" defaultRowHeight="13.2" x14ac:dyDescent="0.25"/>
  <cols>
    <col min="1" max="1" width="5.77734375" style="13" customWidth="1"/>
    <col min="2" max="2" width="26" style="13" bestFit="1" customWidth="1"/>
    <col min="3" max="3" width="10.88671875" style="13" customWidth="1"/>
    <col min="4" max="14" width="9.44140625" style="13" customWidth="1"/>
    <col min="15" max="15" width="10.44140625" style="13" bestFit="1" customWidth="1"/>
    <col min="16" max="16384" width="20.5546875" style="13"/>
  </cols>
  <sheetData>
    <row r="1" spans="1:15" x14ac:dyDescent="0.25">
      <c r="B1" s="3"/>
    </row>
    <row r="2" spans="1:15" x14ac:dyDescent="0.25">
      <c r="B2" s="16" t="s">
        <v>16</v>
      </c>
      <c r="C2" s="17">
        <v>2024</v>
      </c>
      <c r="D2" s="17">
        <v>2025</v>
      </c>
      <c r="E2" s="17">
        <v>2026</v>
      </c>
      <c r="F2" s="17">
        <v>2027</v>
      </c>
      <c r="G2" s="17">
        <v>2028</v>
      </c>
      <c r="H2" s="17">
        <v>2029</v>
      </c>
      <c r="I2" s="17">
        <v>2030</v>
      </c>
      <c r="J2" s="17">
        <v>2031</v>
      </c>
      <c r="K2" s="17">
        <v>2032</v>
      </c>
      <c r="L2" s="17">
        <v>2033</v>
      </c>
      <c r="M2" s="17">
        <v>2034</v>
      </c>
      <c r="N2" s="17">
        <v>2035</v>
      </c>
      <c r="O2" s="17" t="s">
        <v>13</v>
      </c>
    </row>
    <row r="3" spans="1:15" x14ac:dyDescent="0.25">
      <c r="B3" s="5" t="s">
        <v>0</v>
      </c>
      <c r="C3" s="289">
        <f>'Income&amp;Equity'!C3</f>
        <v>51362</v>
      </c>
      <c r="D3" s="289">
        <f>'Income&amp;Equity'!D3</f>
        <v>52389.24</v>
      </c>
      <c r="E3" s="289">
        <f>'Income&amp;Equity'!E3</f>
        <v>53786.286399999997</v>
      </c>
      <c r="F3" s="289">
        <f>'Income&amp;Equity'!F3</f>
        <v>55638.925153777775</v>
      </c>
      <c r="G3" s="289">
        <f>'Income&amp;Equity'!G3</f>
        <v>57940.041194088342</v>
      </c>
      <c r="H3" s="289">
        <f>'Income&amp;Equity'!H3</f>
        <v>60614.502629178969</v>
      </c>
      <c r="I3" s="289">
        <f>'Income&amp;Equity'!I3</f>
        <v>63567.623459146518</v>
      </c>
      <c r="J3" s="289">
        <f>'Income&amp;Equity'!J3</f>
        <v>66727.919040914931</v>
      </c>
      <c r="K3" s="289">
        <f>'Income&amp;Equity'!K3</f>
        <v>70064.314992960673</v>
      </c>
      <c r="L3" s="289">
        <f>'Income&amp;Equity'!L3</f>
        <v>73567.530742608709</v>
      </c>
      <c r="M3" s="289">
        <f>'Income&amp;Equity'!M3</f>
        <v>77245.907279739142</v>
      </c>
      <c r="N3" s="289">
        <f>'Income&amp;Equity'!N3</f>
        <v>81108.202643726108</v>
      </c>
      <c r="O3" s="289">
        <f>'Income&amp;Equity'!O3</f>
        <v>85163.612775912421</v>
      </c>
    </row>
    <row r="4" spans="1:15" x14ac:dyDescent="0.25">
      <c r="B4" s="5" t="str">
        <f>'Income&amp;Equity'!B4</f>
        <v>Cost of Sales</v>
      </c>
      <c r="C4" s="290">
        <f>'Income&amp;Equity'!C4</f>
        <v>-28475</v>
      </c>
      <c r="D4" s="290">
        <f>'Income&amp;Equity'!D4</f>
        <v>-29077.648760860218</v>
      </c>
      <c r="E4" s="290">
        <f>'Income&amp;Equity'!E4</f>
        <v>-29853.052727816492</v>
      </c>
      <c r="F4" s="290">
        <f>'Income&amp;Equity'!F4</f>
        <v>-30881.324543996838</v>
      </c>
      <c r="G4" s="290">
        <f>'Income&amp;Equity'!G4</f>
        <v>-32158.515126989303</v>
      </c>
      <c r="H4" s="290">
        <f>'Income&amp;Equity'!H4</f>
        <v>-33642.923952809862</v>
      </c>
      <c r="I4" s="290">
        <f>'Income&amp;Equity'!I4</f>
        <v>-35281.9973625821</v>
      </c>
      <c r="J4" s="290">
        <f>'Income&amp;Equity'!J4</f>
        <v>-37036.059168158215</v>
      </c>
      <c r="K4" s="290">
        <f>'Income&amp;Equity'!K4</f>
        <v>-38887.862126566128</v>
      </c>
      <c r="L4" s="290">
        <f>'Income&amp;Equity'!L4</f>
        <v>-40832.255232894429</v>
      </c>
      <c r="M4" s="290">
        <f>'Income&amp;Equity'!M4</f>
        <v>-42873.867994539149</v>
      </c>
      <c r="N4" s="290">
        <f>'Income&amp;Equity'!N4</f>
        <v>-45017.561394266115</v>
      </c>
      <c r="O4" s="290">
        <f>'Income&amp;Equity'!O4</f>
        <v>-47268.439463979426</v>
      </c>
    </row>
    <row r="5" spans="1:15" x14ac:dyDescent="0.25">
      <c r="B5" s="5" t="str">
        <f>'Income&amp;Equity'!B5</f>
        <v>Sales &amp; Administration</v>
      </c>
      <c r="C5" s="290">
        <f>'Income&amp;Equity'!C5</f>
        <v>-15732</v>
      </c>
      <c r="D5" s="290">
        <f>'Income&amp;Equity'!D5</f>
        <v>-15805.080412925674</v>
      </c>
      <c r="E5" s="290">
        <f>'Income&amp;Equity'!E5</f>
        <v>-16226.549223937025</v>
      </c>
      <c r="F5" s="290">
        <f>'Income&amp;Equity'!F5</f>
        <v>-16785.463697205967</v>
      </c>
      <c r="G5" s="290">
        <f>'Income&amp;Equity'!G5</f>
        <v>-17479.677319250906</v>
      </c>
      <c r="H5" s="290">
        <f>'Income&amp;Equity'!H5</f>
        <v>-18286.52387863745</v>
      </c>
      <c r="I5" s="290">
        <f>'Income&amp;Equity'!I5</f>
        <v>-19177.437970667092</v>
      </c>
      <c r="J5" s="290">
        <f>'Income&amp;Equity'!J5</f>
        <v>-20130.853706388083</v>
      </c>
      <c r="K5" s="290">
        <f>'Income&amp;Equity'!K5</f>
        <v>-21137.396391707483</v>
      </c>
      <c r="L5" s="290">
        <f>'Income&amp;Equity'!L5</f>
        <v>-22194.266211292859</v>
      </c>
      <c r="M5" s="290">
        <f>'Income&amp;Equity'!M5</f>
        <v>-23303.979521857502</v>
      </c>
      <c r="N5" s="290">
        <f>'Income&amp;Equity'!N5</f>
        <v>-24469.178497950379</v>
      </c>
      <c r="O5" s="290">
        <f>'Income&amp;Equity'!O5</f>
        <v>-25692.6374228479</v>
      </c>
    </row>
    <row r="6" spans="1:15" x14ac:dyDescent="0.25">
      <c r="B6" s="8" t="s">
        <v>1</v>
      </c>
      <c r="C6" s="291">
        <f>'Income&amp;Equity'!C6</f>
        <v>-796</v>
      </c>
      <c r="D6" s="291">
        <f>'Income&amp;Equity'!D6</f>
        <v>-754.48181824325025</v>
      </c>
      <c r="E6" s="291">
        <f>'Income&amp;Equity'!E6</f>
        <v>-772.96714589760381</v>
      </c>
      <c r="F6" s="291">
        <f>'Income&amp;Equity'!F6</f>
        <v>-799.59156981185458</v>
      </c>
      <c r="G6" s="291">
        <f>'Income&amp;Equity'!G6</f>
        <v>-832.66109769913521</v>
      </c>
      <c r="H6" s="291">
        <f>'Income&amp;Equity'!H6</f>
        <v>-871.0960029632995</v>
      </c>
      <c r="I6" s="291">
        <f>'Income&amp;Equity'!I6</f>
        <v>-913.53554531160296</v>
      </c>
      <c r="J6" s="291">
        <f>'Income&amp;Equity'!J6</f>
        <v>-958.95241305862669</v>
      </c>
      <c r="K6" s="291">
        <f>'Income&amp;Equity'!K6</f>
        <v>-1006.900033711558</v>
      </c>
      <c r="L6" s="291">
        <f>'Income&amp;Equity'!L6</f>
        <v>-1057.2450353971358</v>
      </c>
      <c r="M6" s="291">
        <f>'Income&amp;Equity'!M6</f>
        <v>-1110.1072871669926</v>
      </c>
      <c r="N6" s="291">
        <f>'Income&amp;Equity'!N6</f>
        <v>-1165.6126515253422</v>
      </c>
      <c r="O6" s="291">
        <f>'Income&amp;Equity'!O6</f>
        <v>-1223.8932841016097</v>
      </c>
    </row>
    <row r="7" spans="1:15" x14ac:dyDescent="0.25">
      <c r="B7" s="5" t="s">
        <v>313</v>
      </c>
      <c r="C7" s="292">
        <f>SUM(C3:C6)</f>
        <v>6359</v>
      </c>
      <c r="D7" s="292">
        <f t="shared" ref="D7:O7" si="0">SUM(D3:D6)</f>
        <v>6752.0290079708557</v>
      </c>
      <c r="E7" s="292">
        <f t="shared" ref="E7:M7" si="1">SUM(E3:E6)</f>
        <v>6933.7173023488767</v>
      </c>
      <c r="F7" s="292">
        <f t="shared" si="1"/>
        <v>7172.5453427631155</v>
      </c>
      <c r="G7" s="292">
        <f t="shared" si="1"/>
        <v>7469.1876501489978</v>
      </c>
      <c r="H7" s="292">
        <f t="shared" si="1"/>
        <v>7813.9587947683567</v>
      </c>
      <c r="I7" s="292">
        <f t="shared" si="1"/>
        <v>8194.6525805857236</v>
      </c>
      <c r="J7" s="292">
        <f t="shared" si="1"/>
        <v>8602.053753310005</v>
      </c>
      <c r="K7" s="292">
        <f t="shared" si="1"/>
        <v>9032.1564409755047</v>
      </c>
      <c r="L7" s="292">
        <f t="shared" si="1"/>
        <v>9483.7642630242844</v>
      </c>
      <c r="M7" s="292">
        <f t="shared" si="1"/>
        <v>9957.9524761754983</v>
      </c>
      <c r="N7" s="292">
        <f t="shared" si="0"/>
        <v>10455.850099984273</v>
      </c>
      <c r="O7" s="292">
        <f t="shared" si="0"/>
        <v>10978.642604983484</v>
      </c>
    </row>
    <row r="8" spans="1:15" x14ac:dyDescent="0.25">
      <c r="B8" s="8" t="s">
        <v>314</v>
      </c>
      <c r="C8" s="295">
        <f>(DATA!G74+DATA!G68)*WACC!$C$11</f>
        <v>149.9537</v>
      </c>
      <c r="D8" s="295">
        <f>(Balance!C24+Balance!C19)*WACC!$C$11</f>
        <v>144.76999999999998</v>
      </c>
      <c r="E8" s="295">
        <f>(Balance!D24+Balance!D19)*WACC!$C$11</f>
        <v>174.41995815178615</v>
      </c>
      <c r="F8" s="295">
        <f>(Balance!E24+Balance!E19)*WACC!$C$11</f>
        <v>179.07115703583375</v>
      </c>
      <c r="G8" s="295">
        <f>(Balance!F24+Balance!F19)*WACC!$C$11</f>
        <v>185.23916355595691</v>
      </c>
      <c r="H8" s="295">
        <f>(Balance!G24+Balance!G19)*WACC!$C$11</f>
        <v>192.9002894561107</v>
      </c>
      <c r="I8" s="295">
        <f>(Balance!H24+Balance!H19)*WACC!$C$11</f>
        <v>201.80439746735638</v>
      </c>
      <c r="J8" s="295">
        <f>(Balance!I24+Balance!I19)*WACC!$C$11</f>
        <v>211.6362486562667</v>
      </c>
      <c r="K8" s="295">
        <f>(Balance!J24+Balance!J19)*WACC!$C$11</f>
        <v>222.15784857104543</v>
      </c>
      <c r="L8" s="295">
        <f>(Balance!K24+Balance!K19)*WACC!$C$11</f>
        <v>233.26574099959768</v>
      </c>
      <c r="M8" s="295">
        <f>(Balance!L24+Balance!L19)*WACC!$C$11</f>
        <v>244.92902804957757</v>
      </c>
      <c r="N8" s="295">
        <f>(Balance!M24+Balance!M19)*WACC!$C$11</f>
        <v>257.17547945205644</v>
      </c>
      <c r="O8" s="295">
        <f>(Balance!N24+Balance!N19)*WACC!$C$11</f>
        <v>270.03425342465925</v>
      </c>
    </row>
    <row r="9" spans="1:15" x14ac:dyDescent="0.25">
      <c r="B9" s="5" t="s">
        <v>315</v>
      </c>
      <c r="C9" s="293">
        <f>SUM(C7:C8)</f>
        <v>6508.9537</v>
      </c>
      <c r="D9" s="293">
        <f t="shared" ref="D9:O9" si="2">SUM(D7:D8)</f>
        <v>6896.7990079708561</v>
      </c>
      <c r="E9" s="293">
        <f t="shared" si="2"/>
        <v>7108.1372605006627</v>
      </c>
      <c r="F9" s="293">
        <f t="shared" si="2"/>
        <v>7351.616499798949</v>
      </c>
      <c r="G9" s="293">
        <f t="shared" si="2"/>
        <v>7654.4268137049548</v>
      </c>
      <c r="H9" s="293">
        <f t="shared" si="2"/>
        <v>8006.8590842244676</v>
      </c>
      <c r="I9" s="293">
        <f t="shared" si="2"/>
        <v>8396.4569780530801</v>
      </c>
      <c r="J9" s="293">
        <f t="shared" si="2"/>
        <v>8813.6900019662717</v>
      </c>
      <c r="K9" s="293">
        <f t="shared" si="2"/>
        <v>9254.3142895465498</v>
      </c>
      <c r="L9" s="293">
        <f t="shared" si="2"/>
        <v>9717.0300040238817</v>
      </c>
      <c r="M9" s="293">
        <f t="shared" si="2"/>
        <v>10202.881504225075</v>
      </c>
      <c r="N9" s="293">
        <f t="shared" si="2"/>
        <v>10713.025579436329</v>
      </c>
      <c r="O9" s="293">
        <f t="shared" si="2"/>
        <v>11248.676858408144</v>
      </c>
    </row>
    <row r="10" spans="1:15" x14ac:dyDescent="0.25">
      <c r="B10" s="5"/>
      <c r="C10" s="293"/>
      <c r="D10" s="293"/>
      <c r="E10" s="293"/>
      <c r="F10" s="293"/>
      <c r="G10" s="293"/>
      <c r="H10" s="293"/>
      <c r="I10" s="293"/>
      <c r="J10" s="293"/>
      <c r="K10" s="293"/>
      <c r="L10" s="293"/>
      <c r="M10" s="293"/>
      <c r="N10" s="293"/>
      <c r="O10" s="293"/>
    </row>
    <row r="11" spans="1:15" x14ac:dyDescent="0.25">
      <c r="A11" s="126"/>
      <c r="B11" s="6" t="s">
        <v>270</v>
      </c>
      <c r="C11" s="293">
        <f>-C9*DATA!O18</f>
        <v>-964.57523710729106</v>
      </c>
      <c r="D11" s="293">
        <f>-D9*DATA!P18</f>
        <v>-911.02110403145957</v>
      </c>
      <c r="E11" s="293">
        <f>-E9*DATA!Q18</f>
        <v>-938.93747623851766</v>
      </c>
      <c r="F11" s="293">
        <f>-F9*DATA!R18</f>
        <v>-971.09945821565032</v>
      </c>
      <c r="G11" s="293">
        <f>-G9*DATA!S18</f>
        <v>-1011.0986790379382</v>
      </c>
      <c r="H11" s="293">
        <f>-H9*DATA!T18</f>
        <v>-1057.65262903908</v>
      </c>
      <c r="I11" s="293">
        <f>-I9*DATA!U18</f>
        <v>-1109.115909751461</v>
      </c>
      <c r="J11" s="293">
        <f>-J9*DATA!V18</f>
        <v>-1164.2296066483079</v>
      </c>
      <c r="K11" s="293">
        <f>-K9*DATA!W18</f>
        <v>-1222.4331333090861</v>
      </c>
      <c r="L11" s="293">
        <f>-L9*DATA!X18</f>
        <v>-1283.5547899745409</v>
      </c>
      <c r="M11" s="293">
        <f>-M9*DATA!Y18</f>
        <v>-1347.732529473268</v>
      </c>
      <c r="N11" s="293">
        <f>-N9*DATA!Z18</f>
        <v>-1415.1191559469314</v>
      </c>
      <c r="O11" s="293">
        <f>-O9*DATA!AA18</f>
        <v>-1485.8751137442778</v>
      </c>
    </row>
    <row r="12" spans="1:15" ht="13.8" thickBot="1" x14ac:dyDescent="0.3">
      <c r="B12" s="10" t="s">
        <v>16</v>
      </c>
      <c r="C12" s="294">
        <f>SUM(C9:C11)</f>
        <v>5544.3784628927087</v>
      </c>
      <c r="D12" s="294">
        <f t="shared" ref="D12:O12" si="3">SUM(D9:D11)</f>
        <v>5985.7779039393963</v>
      </c>
      <c r="E12" s="294">
        <f t="shared" si="3"/>
        <v>6169.1997842621449</v>
      </c>
      <c r="F12" s="294">
        <f t="shared" si="3"/>
        <v>6380.517041583299</v>
      </c>
      <c r="G12" s="294">
        <f t="shared" si="3"/>
        <v>6643.3281346670165</v>
      </c>
      <c r="H12" s="294">
        <f t="shared" si="3"/>
        <v>6949.2064551853873</v>
      </c>
      <c r="I12" s="294">
        <f t="shared" si="3"/>
        <v>7287.3410683016191</v>
      </c>
      <c r="J12" s="294">
        <f t="shared" si="3"/>
        <v>7649.460395317964</v>
      </c>
      <c r="K12" s="294">
        <f t="shared" si="3"/>
        <v>8031.881156237464</v>
      </c>
      <c r="L12" s="294">
        <f t="shared" si="3"/>
        <v>8433.4752140493401</v>
      </c>
      <c r="M12" s="294">
        <f t="shared" si="3"/>
        <v>8855.1489747518081</v>
      </c>
      <c r="N12" s="294">
        <f t="shared" si="3"/>
        <v>9297.9064234893976</v>
      </c>
      <c r="O12" s="294">
        <f t="shared" si="3"/>
        <v>9762.801744663866</v>
      </c>
    </row>
    <row r="13" spans="1:15" ht="13.8" thickTop="1" x14ac:dyDescent="0.25">
      <c r="B13" s="5"/>
      <c r="C13" s="293"/>
      <c r="D13" s="293"/>
      <c r="E13" s="293"/>
      <c r="F13" s="293"/>
      <c r="G13" s="293"/>
      <c r="H13" s="293"/>
      <c r="I13" s="293"/>
      <c r="J13" s="293"/>
      <c r="K13" s="293"/>
      <c r="L13" s="293"/>
      <c r="M13" s="293"/>
      <c r="N13" s="293"/>
      <c r="O13" s="293"/>
    </row>
    <row r="14" spans="1:15" x14ac:dyDescent="0.25">
      <c r="B14" s="89" t="s">
        <v>17</v>
      </c>
      <c r="C14" s="295"/>
      <c r="D14" s="295"/>
      <c r="E14" s="295"/>
      <c r="F14" s="295"/>
      <c r="G14" s="295"/>
      <c r="H14" s="295"/>
      <c r="I14" s="295"/>
      <c r="J14" s="295"/>
      <c r="K14" s="295"/>
      <c r="L14" s="295"/>
      <c r="M14" s="295"/>
      <c r="N14" s="295"/>
      <c r="O14" s="295"/>
    </row>
    <row r="15" spans="1:15" x14ac:dyDescent="0.25">
      <c r="B15" s="5" t="s">
        <v>5</v>
      </c>
      <c r="C15" s="293">
        <f>'Income&amp;Equity'!C15</f>
        <v>5748</v>
      </c>
      <c r="D15" s="293">
        <f>'Income&amp;Equity'!D15</f>
        <v>5499.0382213792791</v>
      </c>
      <c r="E15" s="293">
        <f>'Income&amp;Equity'!E15</f>
        <v>5650.9458205432702</v>
      </c>
      <c r="F15" s="293">
        <f>'Income&amp;Equity'!F15</f>
        <v>5824.1823476766922</v>
      </c>
      <c r="G15" s="293">
        <f>'Income&amp;Equity'!G15</f>
        <v>6044.2378626654336</v>
      </c>
      <c r="H15" s="293">
        <f>'Income&amp;Equity'!H15</f>
        <v>6302.4000093537406</v>
      </c>
      <c r="I15" s="293">
        <f>'Income&amp;Equity'!I15</f>
        <v>6587.7597040912533</v>
      </c>
      <c r="J15" s="293">
        <f>'Income&amp;Equity'!J15</f>
        <v>6891.9772700149679</v>
      </c>
      <c r="K15" s="293">
        <f>'Income&amp;Equity'!K15</f>
        <v>7211.1917806889142</v>
      </c>
      <c r="L15" s="293">
        <f>'Income&amp;Equity'!L15</f>
        <v>7543.9295663719631</v>
      </c>
      <c r="M15" s="293">
        <f>'Income&amp;Equity'!M15</f>
        <v>7890.6393237589991</v>
      </c>
      <c r="N15" s="293">
        <f>'Income&amp;Equity'!N15</f>
        <v>8251.7643917161022</v>
      </c>
      <c r="O15" s="293">
        <f>'Income&amp;Equity'!O15</f>
        <v>8627.7458259440627</v>
      </c>
    </row>
    <row r="16" spans="1:15" x14ac:dyDescent="0.25">
      <c r="B16" s="5" t="s">
        <v>297</v>
      </c>
      <c r="C16" s="290">
        <f>-'Income&amp;Equity'!C9-'Income&amp;Equity'!C10-'Income&amp;Equity'!C11+C8</f>
        <v>-239.0463</v>
      </c>
      <c r="D16" s="290">
        <f>-'Income&amp;Equity'!D9-'Income&amp;Equity'!D10-'Income&amp;Equity'!D11+D8</f>
        <v>560.82029999999997</v>
      </c>
      <c r="E16" s="290">
        <f>-'Income&amp;Equity'!E9-'Income&amp;Equity'!E10-'Income&amp;Equity'!E11+E8</f>
        <v>597.13097950075417</v>
      </c>
      <c r="F16" s="290">
        <f>-'Income&amp;Equity'!F9-'Income&amp;Equity'!F10-'Income&amp;Equity'!F11+F8</f>
        <v>641.00750589320671</v>
      </c>
      <c r="G16" s="290">
        <f>-'Income&amp;Equity'!G9-'Income&amp;Equity'!G10-'Income&amp;Equity'!G11+G8</f>
        <v>690.27038088169957</v>
      </c>
      <c r="H16" s="290">
        <f>-'Income&amp;Equity'!H9-'Income&amp;Equity'!H10-'Income&amp;Equity'!H11+H8</f>
        <v>745.24884243116162</v>
      </c>
      <c r="I16" s="290">
        <f>-'Income&amp;Equity'!I9-'Income&amp;Equity'!I10-'Income&amp;Equity'!I11+I8</f>
        <v>806.05597737022231</v>
      </c>
      <c r="J16" s="290">
        <f>-'Income&amp;Equity'!J9-'Income&amp;Equity'!J10-'Income&amp;Equity'!J11+J8</f>
        <v>872.77024824228408</v>
      </c>
      <c r="K16" s="290">
        <f>-'Income&amp;Equity'!K9-'Income&amp;Equity'!K10-'Income&amp;Equity'!K11+K8</f>
        <v>945.59633885019036</v>
      </c>
      <c r="L16" s="290">
        <f>-'Income&amp;Equity'!L9-'Income&amp;Equity'!L10-'Income&amp;Equity'!L11+L8</f>
        <v>1024.9323711807822</v>
      </c>
      <c r="M16" s="290">
        <f>-'Income&amp;Equity'!M9-'Income&amp;Equity'!M10-'Income&amp;Equity'!M11+M8</f>
        <v>1111.3057168004259</v>
      </c>
      <c r="N16" s="290">
        <f>-'Income&amp;Equity'!N9-'Income&amp;Equity'!N10-'Income&amp;Equity'!N11+N8</f>
        <v>1205.3623510124362</v>
      </c>
      <c r="O16" s="290">
        <f>-'Income&amp;Equity'!O9-'Income&amp;Equity'!O10-'Income&amp;Equity'!O11+O8</f>
        <v>1307.8087192420248</v>
      </c>
    </row>
    <row r="17" spans="2:15" x14ac:dyDescent="0.25">
      <c r="B17" s="5" t="s">
        <v>29</v>
      </c>
      <c r="C17" s="293">
        <f>C16*-DATA!O18</f>
        <v>35.424762892708948</v>
      </c>
      <c r="D17" s="293">
        <f>D16*-DATA!P18</f>
        <v>-74.080617439883113</v>
      </c>
      <c r="E17" s="293">
        <f>E16*-DATA!Q18</f>
        <v>-78.877015781878896</v>
      </c>
      <c r="F17" s="293">
        <f>F16*-DATA!R18</f>
        <v>-84.672811986599385</v>
      </c>
      <c r="G17" s="293">
        <f>G16*-DATA!S18</f>
        <v>-91.180108880116492</v>
      </c>
      <c r="H17" s="293">
        <f>H16*-DATA!T18</f>
        <v>-98.442396599514339</v>
      </c>
      <c r="I17" s="293">
        <f>I16*-DATA!U18</f>
        <v>-106.47461315985623</v>
      </c>
      <c r="J17" s="293">
        <f>J16*-DATA!V18</f>
        <v>-115.28712293928815</v>
      </c>
      <c r="K17" s="293">
        <f>K16*-DATA!W18</f>
        <v>-124.90696330164053</v>
      </c>
      <c r="L17" s="293">
        <f>L16*-DATA!X18</f>
        <v>-135.38672350340352</v>
      </c>
      <c r="M17" s="293">
        <f>M16*-DATA!Y18</f>
        <v>-146.79606580761686</v>
      </c>
      <c r="N17" s="293">
        <f>N16*-DATA!R18</f>
        <v>-159.22031923914022</v>
      </c>
      <c r="O17" s="293">
        <f>O16*-DATA!S18</f>
        <v>-172.75280052222067</v>
      </c>
    </row>
    <row r="18" spans="2:15" ht="13.8" thickBot="1" x14ac:dyDescent="0.3">
      <c r="B18" s="10" t="s">
        <v>16</v>
      </c>
      <c r="C18" s="294">
        <f>SUM(C15:C17)</f>
        <v>5544.3784628927087</v>
      </c>
      <c r="D18" s="294">
        <f>SUM(D15:D17)</f>
        <v>5985.7779039393963</v>
      </c>
      <c r="E18" s="294">
        <f t="shared" ref="E18:M18" si="4">SUM(E15:E17)</f>
        <v>6169.1997842621449</v>
      </c>
      <c r="F18" s="294">
        <f t="shared" si="4"/>
        <v>6380.5170415832999</v>
      </c>
      <c r="G18" s="294">
        <f t="shared" si="4"/>
        <v>6643.3281346670165</v>
      </c>
      <c r="H18" s="294">
        <f t="shared" si="4"/>
        <v>6949.2064551853873</v>
      </c>
      <c r="I18" s="294">
        <f t="shared" si="4"/>
        <v>7287.34106830162</v>
      </c>
      <c r="J18" s="294">
        <f t="shared" si="4"/>
        <v>7649.460395317963</v>
      </c>
      <c r="K18" s="294">
        <f t="shared" si="4"/>
        <v>8031.881156237464</v>
      </c>
      <c r="L18" s="294">
        <f t="shared" si="4"/>
        <v>8433.475214049342</v>
      </c>
      <c r="M18" s="294">
        <f t="shared" si="4"/>
        <v>8855.1489747518081</v>
      </c>
      <c r="N18" s="294">
        <f>SUM(N15:N17)</f>
        <v>9297.9064234893976</v>
      </c>
      <c r="O18" s="294">
        <f>SUM(O15:O17)</f>
        <v>9762.801744663866</v>
      </c>
    </row>
    <row r="19" spans="2:15" ht="13.8" thickTop="1" x14ac:dyDescent="0.25">
      <c r="C19" s="78"/>
      <c r="D19" s="78"/>
      <c r="E19" s="78"/>
      <c r="F19" s="78"/>
      <c r="G19" s="78"/>
      <c r="H19" s="78"/>
      <c r="I19" s="78"/>
      <c r="J19" s="78"/>
      <c r="K19" s="78"/>
      <c r="L19" s="78"/>
      <c r="M19" s="78"/>
      <c r="N19" s="78"/>
      <c r="O19" s="78"/>
    </row>
    <row r="20" spans="2:15" x14ac:dyDescent="0.25">
      <c r="B20" s="13" t="s">
        <v>15</v>
      </c>
      <c r="C20" s="296">
        <f>C18-C12</f>
        <v>0</v>
      </c>
      <c r="D20" s="296">
        <f t="shared" ref="D20:O20" si="5">D18-D12</f>
        <v>0</v>
      </c>
      <c r="E20" s="296">
        <f t="shared" ref="E20:M20" si="6">E18-E12</f>
        <v>0</v>
      </c>
      <c r="F20" s="296">
        <f t="shared" si="6"/>
        <v>0</v>
      </c>
      <c r="G20" s="296">
        <f t="shared" si="6"/>
        <v>0</v>
      </c>
      <c r="H20" s="296">
        <f t="shared" si="6"/>
        <v>0</v>
      </c>
      <c r="I20" s="296">
        <f t="shared" si="6"/>
        <v>0</v>
      </c>
      <c r="J20" s="296">
        <f t="shared" si="6"/>
        <v>0</v>
      </c>
      <c r="K20" s="296">
        <f t="shared" si="6"/>
        <v>0</v>
      </c>
      <c r="L20" s="296">
        <f t="shared" si="6"/>
        <v>0</v>
      </c>
      <c r="M20" s="296">
        <f t="shared" si="6"/>
        <v>0</v>
      </c>
      <c r="N20" s="296">
        <f t="shared" si="5"/>
        <v>0</v>
      </c>
      <c r="O20" s="296">
        <f t="shared" si="5"/>
        <v>0</v>
      </c>
    </row>
    <row r="22" spans="2:15" x14ac:dyDescent="0.25">
      <c r="C22" s="184"/>
      <c r="D22" s="184"/>
      <c r="E22" s="184"/>
      <c r="F22" s="184"/>
      <c r="G22" s="184"/>
      <c r="H22" s="184"/>
      <c r="I22" s="184"/>
      <c r="J22" s="184"/>
      <c r="K22" s="184"/>
      <c r="L22" s="184"/>
      <c r="M22" s="184"/>
      <c r="N22" s="184"/>
      <c r="O22" s="184"/>
    </row>
    <row r="23" spans="2:15" x14ac:dyDescent="0.25">
      <c r="D23" s="184"/>
      <c r="E23" s="184"/>
      <c r="F23" s="184"/>
      <c r="G23" s="184"/>
      <c r="H23" s="184"/>
      <c r="I23" s="184"/>
      <c r="J23" s="184"/>
      <c r="K23" s="184"/>
      <c r="L23" s="184"/>
      <c r="M23" s="184"/>
      <c r="N23" s="184"/>
      <c r="O23" s="184"/>
    </row>
  </sheetData>
  <sheetProtection sheet="1" objects="1" scenarios="1"/>
  <conditionalFormatting sqref="B2:O18">
    <cfRule type="expression" dxfId="33" priority="1">
      <formula>_xlfn.ISFORMULA(B2)</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7807E-9773-489D-9059-B662070C4C18}">
  <sheetPr>
    <tabColor theme="9" tint="-0.249977111117893"/>
  </sheetPr>
  <dimension ref="A2:S31"/>
  <sheetViews>
    <sheetView showGridLines="0" topLeftCell="A8" workbookViewId="0">
      <selection activeCell="B17" sqref="B17"/>
    </sheetView>
  </sheetViews>
  <sheetFormatPr defaultColWidth="9.33203125" defaultRowHeight="13.2" x14ac:dyDescent="0.25"/>
  <cols>
    <col min="1" max="1" width="9.33203125" style="13"/>
    <col min="2" max="2" width="45.33203125" style="13" customWidth="1"/>
    <col min="3" max="15" width="11.5546875" style="13" customWidth="1"/>
    <col min="16" max="16" width="10" style="13" bestFit="1" customWidth="1"/>
    <col min="17" max="17" width="11.77734375" style="13" customWidth="1"/>
    <col min="18" max="2004" width="9.33203125" style="13"/>
    <col min="2005" max="2005" width="2.33203125" style="13" customWidth="1"/>
    <col min="2006" max="16384" width="9.33203125" style="13"/>
  </cols>
  <sheetData>
    <row r="2" spans="2:19" x14ac:dyDescent="0.25">
      <c r="B2" s="20" t="s">
        <v>14</v>
      </c>
      <c r="C2" s="21">
        <v>2024</v>
      </c>
      <c r="D2" s="21">
        <v>2025</v>
      </c>
      <c r="E2" s="21">
        <v>2026</v>
      </c>
      <c r="F2" s="21">
        <v>2027</v>
      </c>
      <c r="G2" s="21">
        <v>2028</v>
      </c>
      <c r="H2" s="21">
        <v>2029</v>
      </c>
      <c r="I2" s="21">
        <v>2030</v>
      </c>
      <c r="J2" s="21">
        <v>2031</v>
      </c>
      <c r="K2" s="21">
        <v>2032</v>
      </c>
      <c r="L2" s="21">
        <v>2033</v>
      </c>
      <c r="M2" s="21">
        <v>2034</v>
      </c>
      <c r="N2" s="21">
        <v>2035</v>
      </c>
      <c r="P2" s="21" t="s">
        <v>324</v>
      </c>
      <c r="Q2" s="325">
        <f>Q7/Q9</f>
        <v>0.20385629750600137</v>
      </c>
    </row>
    <row r="3" spans="2:19" x14ac:dyDescent="0.25">
      <c r="B3" s="4" t="s">
        <v>286</v>
      </c>
      <c r="C3" s="283">
        <f>'Income&amp;Equity'!C3*2%</f>
        <v>1027.24</v>
      </c>
      <c r="D3" s="283">
        <f>'Income&amp;Equity'!D3*2%</f>
        <v>1047.7847999999999</v>
      </c>
      <c r="E3" s="283">
        <f>'Income&amp;Equity'!E3*2%</f>
        <v>1075.7257279999999</v>
      </c>
      <c r="F3" s="283">
        <f>'Income&amp;Equity'!F3*2%</f>
        <v>1112.7785030755556</v>
      </c>
      <c r="G3" s="283">
        <f>'Income&amp;Equity'!G3*2%</f>
        <v>1158.800823881767</v>
      </c>
      <c r="H3" s="283">
        <f>'Income&amp;Equity'!H3*2%</f>
        <v>1212.2900525835794</v>
      </c>
      <c r="I3" s="283">
        <f>'Income&amp;Equity'!I3*2%</f>
        <v>1271.3524691829305</v>
      </c>
      <c r="J3" s="283">
        <f>'Income&amp;Equity'!J3*2%</f>
        <v>1334.5583808182987</v>
      </c>
      <c r="K3" s="283">
        <f>'Income&amp;Equity'!K3*2%</f>
        <v>1401.2862998592134</v>
      </c>
      <c r="L3" s="283">
        <f>'Income&amp;Equity'!L3*2%</f>
        <v>1471.3506148521742</v>
      </c>
      <c r="M3" s="283">
        <f>'Income&amp;Equity'!M3*2%</f>
        <v>1544.9181455947828</v>
      </c>
      <c r="N3" s="283">
        <f>'Income&amp;Equity'!N3*2%</f>
        <v>1622.1640528745222</v>
      </c>
      <c r="P3" s="2" t="s">
        <v>320</v>
      </c>
      <c r="Q3" s="78">
        <f>N17</f>
        <v>606.32669371642771</v>
      </c>
      <c r="R3" s="18"/>
      <c r="S3" s="18"/>
    </row>
    <row r="4" spans="2:19" x14ac:dyDescent="0.25">
      <c r="B4" s="5" t="s">
        <v>287</v>
      </c>
      <c r="C4" s="196">
        <f>(DATA!H48+DATA!H49)-C3</f>
        <v>10554.76</v>
      </c>
      <c r="D4" s="196">
        <v>11323.909597856207</v>
      </c>
      <c r="E4" s="196">
        <v>12357.309658244616</v>
      </c>
      <c r="F4" s="196">
        <v>13543.74787234044</v>
      </c>
      <c r="G4" s="196">
        <v>14945.698384073716</v>
      </c>
      <c r="H4" s="196">
        <v>16628.01500404808</v>
      </c>
      <c r="I4" s="196">
        <v>18645.675479647674</v>
      </c>
      <c r="J4" s="196">
        <v>21039.444886560013</v>
      </c>
      <c r="K4" s="196">
        <v>23840.060444824619</v>
      </c>
      <c r="L4" s="196">
        <v>27073.43469226603</v>
      </c>
      <c r="M4" s="196">
        <v>30764.838496702243</v>
      </c>
      <c r="N4" s="196">
        <v>34941.154250666448</v>
      </c>
      <c r="P4" s="2" t="s">
        <v>321</v>
      </c>
      <c r="Q4" s="78">
        <f>N19</f>
        <v>794.20450840243495</v>
      </c>
      <c r="R4" s="18"/>
      <c r="S4" s="18"/>
    </row>
    <row r="5" spans="2:19" x14ac:dyDescent="0.25">
      <c r="B5" s="5" t="s">
        <v>30</v>
      </c>
      <c r="C5" s="277">
        <f>DATA!H50</f>
        <v>4427</v>
      </c>
      <c r="D5" s="277">
        <f>'Income&amp;Equity'!D3*DATA!P50</f>
        <v>4799.5308813621341</v>
      </c>
      <c r="E5" s="277">
        <f>'Income&amp;Equity'!E3*DATA!Q50</f>
        <v>4927.5183715317908</v>
      </c>
      <c r="F5" s="277">
        <f>'Income&amp;Equity'!F3*DATA!R50</f>
        <v>5097.2440043289971</v>
      </c>
      <c r="G5" s="277">
        <f>'Income&amp;Equity'!G3*DATA!S50</f>
        <v>5308.0559477179131</v>
      </c>
      <c r="H5" s="277">
        <f>'Income&amp;Equity'!H3*DATA!T50</f>
        <v>5553.0711502428885</v>
      </c>
      <c r="I5" s="277">
        <f>'Income&amp;Equity'!I3*DATA!U50</f>
        <v>5823.6151516413256</v>
      </c>
      <c r="J5" s="277">
        <f>'Income&amp;Equity'!J3*DATA!V50</f>
        <v>6113.1390355329377</v>
      </c>
      <c r="K5" s="277">
        <f>'Income&amp;Equity'!K3*DATA!W50</f>
        <v>6418.7959873095842</v>
      </c>
      <c r="L5" s="277">
        <f>'Income&amp;Equity'!L3*DATA!X50</f>
        <v>6739.7357866750635</v>
      </c>
      <c r="M5" s="277">
        <f>'Income&amp;Equity'!M3*DATA!Y50</f>
        <v>7076.7225760088158</v>
      </c>
      <c r="N5" s="277">
        <f>'Income&amp;Equity'!N3*DATA!Z50</f>
        <v>7430.5587048092575</v>
      </c>
      <c r="P5" s="2" t="s">
        <v>322</v>
      </c>
      <c r="Q5" s="78">
        <f>N23</f>
        <v>21615.824608582625</v>
      </c>
      <c r="R5" s="18"/>
      <c r="S5" s="18"/>
    </row>
    <row r="6" spans="2:19" x14ac:dyDescent="0.25">
      <c r="B6" s="5" t="s">
        <v>31</v>
      </c>
      <c r="C6" s="277">
        <f>DATA!H51</f>
        <v>7519</v>
      </c>
      <c r="D6" s="277">
        <f>-'Income&amp;Equity'!D4*DATA!P51</f>
        <v>8610.9599225532202</v>
      </c>
      <c r="E6" s="277">
        <f>-'Income&amp;Equity'!E4*DATA!Q51</f>
        <v>8840.5855204879736</v>
      </c>
      <c r="F6" s="277">
        <f>-'Income&amp;Equity'!F4*DATA!R51</f>
        <v>9145.0945773047806</v>
      </c>
      <c r="G6" s="277">
        <f>-'Income&amp;Equity'!G4*DATA!S51</f>
        <v>9523.317624637757</v>
      </c>
      <c r="H6" s="277">
        <f>-'Income&amp;Equity'!H4*DATA!T51</f>
        <v>9962.9056055280998</v>
      </c>
      <c r="I6" s="277">
        <f>-'Income&amp;Equity'!I4*DATA!U51</f>
        <v>10448.295451101496</v>
      </c>
      <c r="J6" s="277">
        <f>-'Income&amp;Equity'!J4*DATA!V51</f>
        <v>10967.737584601235</v>
      </c>
      <c r="K6" s="277">
        <f>-'Income&amp;Equity'!K4*DATA!W51</f>
        <v>11516.124463831296</v>
      </c>
      <c r="L6" s="277">
        <f>-'Income&amp;Equity'!L4*DATA!X51</f>
        <v>12091.930687022861</v>
      </c>
      <c r="M6" s="277">
        <f>-'Income&amp;Equity'!M4*DATA!Y51</f>
        <v>12696.527221374003</v>
      </c>
      <c r="N6" s="277">
        <f>-'Income&amp;Equity'!N4*DATA!Z51</f>
        <v>13331.353582442705</v>
      </c>
      <c r="P6" s="33" t="s">
        <v>323</v>
      </c>
      <c r="Q6" s="287">
        <f>N24</f>
        <v>4988.1135520827747</v>
      </c>
      <c r="R6" s="18"/>
      <c r="S6" s="18"/>
    </row>
    <row r="7" spans="2:19" x14ac:dyDescent="0.25">
      <c r="B7" s="8" t="s">
        <v>289</v>
      </c>
      <c r="C7" s="284">
        <f>DATA!H52</f>
        <v>1854</v>
      </c>
      <c r="D7" s="277">
        <f>-'Income&amp;Equity'!D4*DATA!P52</f>
        <v>2164.4665236742289</v>
      </c>
      <c r="E7" s="277">
        <f>-'Income&amp;Equity'!E4*DATA!Q52</f>
        <v>2222.1856309722084</v>
      </c>
      <c r="F7" s="277">
        <f>-'Income&amp;Equity'!F4*DATA!R52</f>
        <v>2298.7275804834735</v>
      </c>
      <c r="G7" s="277">
        <f>-'Income&amp;Equity'!G4*DATA!S52</f>
        <v>2393.798412515815</v>
      </c>
      <c r="H7" s="277">
        <f>-'Income&amp;Equity'!H4*DATA!T52</f>
        <v>2504.2940456861265</v>
      </c>
      <c r="I7" s="277">
        <f>-'Income&amp;Equity'!I4*DATA!U52</f>
        <v>2626.3025187395588</v>
      </c>
      <c r="J7" s="277">
        <f>-'Income&amp;Equity'!J4*DATA!V52</f>
        <v>2756.8704367252617</v>
      </c>
      <c r="K7" s="277">
        <f>-'Income&amp;Equity'!K4*DATA!W52</f>
        <v>2894.7139585615246</v>
      </c>
      <c r="L7" s="277">
        <f>-'Income&amp;Equity'!L4*DATA!X52</f>
        <v>3039.4496564896008</v>
      </c>
      <c r="M7" s="277">
        <f>-'Income&amp;Equity'!M4*DATA!Y52</f>
        <v>3191.4221393140806</v>
      </c>
      <c r="N7" s="277">
        <f>-'Income&amp;Equity'!N4*DATA!Z52</f>
        <v>3350.9932462797851</v>
      </c>
      <c r="P7" s="2" t="s">
        <v>325</v>
      </c>
      <c r="Q7" s="200">
        <f>SUM(Q3:Q6)</f>
        <v>28004.469362784261</v>
      </c>
      <c r="R7" s="18"/>
      <c r="S7" s="18"/>
    </row>
    <row r="8" spans="2:19" x14ac:dyDescent="0.25">
      <c r="B8" s="5" t="s">
        <v>32</v>
      </c>
      <c r="C8" s="285">
        <f>SUM(C3:C7)</f>
        <v>25382</v>
      </c>
      <c r="D8" s="285">
        <f>SUM(D3:D7)</f>
        <v>27946.651725445794</v>
      </c>
      <c r="E8" s="285">
        <f t="shared" ref="E8:N8" si="0">SUM(E3:E7)</f>
        <v>29423.324909236588</v>
      </c>
      <c r="F8" s="285">
        <f t="shared" si="0"/>
        <v>31197.592537533244</v>
      </c>
      <c r="G8" s="285">
        <f t="shared" si="0"/>
        <v>33329.671192826972</v>
      </c>
      <c r="H8" s="285">
        <f t="shared" si="0"/>
        <v>35860.575858088778</v>
      </c>
      <c r="I8" s="285">
        <f t="shared" si="0"/>
        <v>38815.241070312986</v>
      </c>
      <c r="J8" s="285">
        <f t="shared" si="0"/>
        <v>42211.75032423775</v>
      </c>
      <c r="K8" s="285">
        <f t="shared" si="0"/>
        <v>46070.981154386231</v>
      </c>
      <c r="L8" s="285">
        <f t="shared" si="0"/>
        <v>50415.901437305729</v>
      </c>
      <c r="M8" s="285">
        <f t="shared" si="0"/>
        <v>55274.428578993931</v>
      </c>
      <c r="N8" s="285">
        <f t="shared" si="0"/>
        <v>60676.223837072714</v>
      </c>
    </row>
    <row r="9" spans="2:19" ht="13.8" thickBot="1" x14ac:dyDescent="0.3">
      <c r="B9" s="5"/>
      <c r="C9" s="196"/>
      <c r="D9" s="196"/>
      <c r="E9" s="196"/>
      <c r="F9" s="196"/>
      <c r="G9" s="196"/>
      <c r="H9" s="196"/>
      <c r="I9" s="196"/>
      <c r="J9" s="196"/>
      <c r="K9" s="196"/>
      <c r="L9" s="196"/>
      <c r="M9" s="196"/>
      <c r="N9" s="196"/>
      <c r="P9" s="34" t="s">
        <v>80</v>
      </c>
      <c r="Q9" s="324">
        <f>'DCF Method'!P24</f>
        <v>137373.57984714615</v>
      </c>
    </row>
    <row r="10" spans="2:19" ht="13.8" thickTop="1" x14ac:dyDescent="0.25">
      <c r="B10" s="6" t="s">
        <v>33</v>
      </c>
      <c r="C10" s="277">
        <f>'Income&amp;Equity'!D3/DATA!O90</f>
        <v>5000</v>
      </c>
      <c r="D10" s="277">
        <f>'Income&amp;Equity'!E3/DATA!P90</f>
        <v>5122.5034666666661</v>
      </c>
      <c r="E10" s="277">
        <f>'Income&amp;Equity'!F3/DATA!Q90</f>
        <v>5298.9452527407402</v>
      </c>
      <c r="F10" s="277">
        <f>'Income&amp;Equity'!G3/DATA!R90</f>
        <v>5518.0991613417473</v>
      </c>
      <c r="G10" s="277">
        <f>'Income&amp;Equity'!H3/DATA!S90</f>
        <v>5772.8097742075206</v>
      </c>
      <c r="H10" s="277">
        <f>'Income&amp;Equity'!I3/DATA!T90</f>
        <v>6054.0593770615733</v>
      </c>
      <c r="I10" s="277">
        <f>'Income&amp;Equity'!J3/DATA!U90</f>
        <v>6355.0399086585649</v>
      </c>
      <c r="J10" s="277">
        <f>'Income&amp;Equity'!K3/DATA!V90</f>
        <v>6672.7919040914931</v>
      </c>
      <c r="K10" s="277">
        <f>'Income&amp;Equity'!L3/DATA!W90</f>
        <v>7006.4314992960672</v>
      </c>
      <c r="L10" s="277">
        <f>'Income&amp;Equity'!M3/DATA!X90</f>
        <v>7356.7530742608706</v>
      </c>
      <c r="M10" s="277">
        <f>'Income&amp;Equity'!N3/DATA!Y90</f>
        <v>7724.5907279739149</v>
      </c>
      <c r="N10" s="277">
        <f>'Income&amp;Equity'!O3/DATA!Z90</f>
        <v>8110.8202643726117</v>
      </c>
      <c r="O10" s="18"/>
      <c r="P10" s="18"/>
      <c r="Q10" s="18"/>
      <c r="R10" s="18"/>
      <c r="S10" s="18"/>
    </row>
    <row r="11" spans="2:19" x14ac:dyDescent="0.25">
      <c r="B11" s="5" t="s">
        <v>197</v>
      </c>
      <c r="C11" s="277">
        <f>DATA!H56</f>
        <v>2718</v>
      </c>
      <c r="D11" s="196">
        <f>'Income&amp;Equity'!D3*DATA!P56</f>
        <v>3408.7314892826143</v>
      </c>
      <c r="E11" s="196">
        <f>'Income&amp;Equity'!E3*DATA!Q56</f>
        <v>3499.6309956634841</v>
      </c>
      <c r="F11" s="196">
        <f>'Income&amp;Equity'!F3*DATA!R56</f>
        <v>3620.1738410696707</v>
      </c>
      <c r="G11" s="196">
        <f>'Income&amp;Equity'!G3*DATA!S56</f>
        <v>3769.8970801756391</v>
      </c>
      <c r="H11" s="196">
        <f>'Income&amp;Equity'!H3*DATA!T56</f>
        <v>3943.9122197475317</v>
      </c>
      <c r="I11" s="196">
        <f>'Income&amp;Equity'!I3*DATA!U56</f>
        <v>4136.0584689537964</v>
      </c>
      <c r="J11" s="196">
        <f>'Income&amp;Equity'!J3*DATA!V56</f>
        <v>4341.6846445771625</v>
      </c>
      <c r="K11" s="196">
        <f>'Income&amp;Equity'!K3*DATA!W56</f>
        <v>4558.7688768060207</v>
      </c>
      <c r="L11" s="196">
        <f>'Income&amp;Equity'!L3*DATA!X56</f>
        <v>4786.7073206463219</v>
      </c>
      <c r="M11" s="196">
        <f>'Income&amp;Equity'!M3*DATA!Y56</f>
        <v>5026.0426866786374</v>
      </c>
      <c r="N11" s="196">
        <f>'Income&amp;Equity'!N3*DATA!Z56</f>
        <v>5277.3448210125707</v>
      </c>
      <c r="O11" s="18"/>
      <c r="P11" s="2" t="s">
        <v>326</v>
      </c>
      <c r="Q11" s="326">
        <v>9.5785220911121502E-2</v>
      </c>
      <c r="R11" s="18"/>
      <c r="S11" s="18"/>
    </row>
    <row r="12" spans="2:19" x14ac:dyDescent="0.25">
      <c r="B12" s="5" t="s">
        <v>293</v>
      </c>
      <c r="C12" s="196">
        <f>DATA!H57+DATA!H58+(-DATA!L103)</f>
        <v>1292</v>
      </c>
      <c r="D12" s="196">
        <f>C12</f>
        <v>1292</v>
      </c>
      <c r="E12" s="196">
        <f t="shared" ref="E12:N12" si="1">D12</f>
        <v>1292</v>
      </c>
      <c r="F12" s="196">
        <f t="shared" si="1"/>
        <v>1292</v>
      </c>
      <c r="G12" s="196">
        <f t="shared" si="1"/>
        <v>1292</v>
      </c>
      <c r="H12" s="196">
        <f t="shared" si="1"/>
        <v>1292</v>
      </c>
      <c r="I12" s="196">
        <f t="shared" si="1"/>
        <v>1292</v>
      </c>
      <c r="J12" s="196">
        <f t="shared" si="1"/>
        <v>1292</v>
      </c>
      <c r="K12" s="196">
        <f t="shared" si="1"/>
        <v>1292</v>
      </c>
      <c r="L12" s="196">
        <f t="shared" si="1"/>
        <v>1292</v>
      </c>
      <c r="M12" s="196">
        <f t="shared" si="1"/>
        <v>1292</v>
      </c>
      <c r="N12" s="196">
        <f t="shared" si="1"/>
        <v>1292</v>
      </c>
      <c r="P12" s="2" t="s">
        <v>327</v>
      </c>
      <c r="Q12" s="326">
        <f>WACC!C20</f>
        <v>0.20373415523282451</v>
      </c>
      <c r="R12" s="18"/>
      <c r="S12" s="18"/>
    </row>
    <row r="13" spans="2:19" x14ac:dyDescent="0.25">
      <c r="B13" s="5" t="s">
        <v>200</v>
      </c>
      <c r="C13" s="196">
        <f>DATA!H59</f>
        <v>4511</v>
      </c>
      <c r="D13" s="196">
        <f>'Income&amp;Equity'!D3*DATA!P59</f>
        <v>3887.3919470423107</v>
      </c>
      <c r="E13" s="196">
        <f>'Income&amp;Equity'!E3*DATA!Q59</f>
        <v>3991.055732296772</v>
      </c>
      <c r="F13" s="196">
        <f>'Income&amp;Equity'!F3*DATA!R59</f>
        <v>4128.5254297425499</v>
      </c>
      <c r="G13" s="196">
        <f>'Income&amp;Equity'!G3*DATA!S59</f>
        <v>4299.2730864047426</v>
      </c>
      <c r="H13" s="196">
        <f>'Income&amp;Equity'!H3*DATA!T59</f>
        <v>4497.7237576770594</v>
      </c>
      <c r="I13" s="196">
        <f>'Income&amp;Equity'!I3*DATA!U59</f>
        <v>4716.8515429447734</v>
      </c>
      <c r="J13" s="196">
        <f>'Income&amp;Equity'!J3*DATA!V59</f>
        <v>4951.3521311350187</v>
      </c>
      <c r="K13" s="196">
        <f>'Income&amp;Equity'!K3*DATA!W59</f>
        <v>5198.9197376917691</v>
      </c>
      <c r="L13" s="196">
        <f>'Income&amp;Equity'!L3*DATA!X59</f>
        <v>5458.8657245763579</v>
      </c>
      <c r="M13" s="196">
        <f>'Income&amp;Equity'!M3*DATA!Y59</f>
        <v>5731.8090108051756</v>
      </c>
      <c r="N13" s="196">
        <f>'Income&amp;Equity'!N3*DATA!Z59</f>
        <v>6018.3994613454352</v>
      </c>
      <c r="P13" s="2" t="s">
        <v>328</v>
      </c>
      <c r="Q13" s="326">
        <f>Q2-Q12</f>
        <v>1.2214227317686177E-4</v>
      </c>
      <c r="R13" s="18"/>
      <c r="S13" s="18"/>
    </row>
    <row r="14" spans="2:19" ht="13.8" thickBot="1" x14ac:dyDescent="0.3">
      <c r="B14" s="10" t="s">
        <v>34</v>
      </c>
      <c r="C14" s="286">
        <f>SUM(C8:C13)</f>
        <v>38903</v>
      </c>
      <c r="D14" s="286">
        <f t="shared" ref="D14:N14" si="2">SUM(D8:D13)</f>
        <v>41657.278628437387</v>
      </c>
      <c r="E14" s="286">
        <f t="shared" si="2"/>
        <v>43504.956889937588</v>
      </c>
      <c r="F14" s="286">
        <f t="shared" si="2"/>
        <v>45756.390969687214</v>
      </c>
      <c r="G14" s="286">
        <f t="shared" si="2"/>
        <v>48463.651133614869</v>
      </c>
      <c r="H14" s="286">
        <f t="shared" si="2"/>
        <v>51648.271212574939</v>
      </c>
      <c r="I14" s="286">
        <f t="shared" si="2"/>
        <v>55315.19099087012</v>
      </c>
      <c r="J14" s="286">
        <f t="shared" si="2"/>
        <v>59469.579004041429</v>
      </c>
      <c r="K14" s="286">
        <f t="shared" si="2"/>
        <v>64127.101268180078</v>
      </c>
      <c r="L14" s="286">
        <f t="shared" si="2"/>
        <v>69310.227556789279</v>
      </c>
      <c r="M14" s="286">
        <f t="shared" si="2"/>
        <v>75048.871004451663</v>
      </c>
      <c r="N14" s="286">
        <f t="shared" si="2"/>
        <v>81374.78838380333</v>
      </c>
    </row>
    <row r="15" spans="2:19" ht="13.8" thickTop="1" x14ac:dyDescent="0.25">
      <c r="B15" s="5"/>
      <c r="C15" s="196"/>
      <c r="D15" s="196"/>
      <c r="E15" s="196"/>
      <c r="F15" s="196"/>
      <c r="G15" s="196"/>
      <c r="H15" s="196"/>
      <c r="I15" s="196"/>
      <c r="J15" s="196"/>
      <c r="K15" s="196"/>
      <c r="L15" s="196"/>
      <c r="M15" s="196"/>
      <c r="N15" s="196"/>
    </row>
    <row r="16" spans="2:19" x14ac:dyDescent="0.25">
      <c r="B16" s="89" t="s">
        <v>35</v>
      </c>
      <c r="C16" s="287"/>
      <c r="D16" s="287"/>
      <c r="E16" s="287"/>
      <c r="F16" s="287"/>
      <c r="G16" s="287"/>
      <c r="H16" s="287"/>
      <c r="I16" s="287"/>
      <c r="J16" s="287"/>
      <c r="K16" s="287"/>
      <c r="L16" s="287"/>
      <c r="M16" s="287"/>
      <c r="N16" s="287"/>
    </row>
    <row r="17" spans="1:19" x14ac:dyDescent="0.25">
      <c r="A17" s="319">
        <v>1</v>
      </c>
      <c r="B17" s="5" t="s">
        <v>307</v>
      </c>
      <c r="C17" s="98">
        <f>SUMIF(DATA!$A$63:$A$69,Balance!A17,DATA!$H$63:$H$69)</f>
        <v>1006</v>
      </c>
      <c r="D17" s="277">
        <f>'Income&amp;Equity'!D3*DATA!P64</f>
        <v>391.63726528433324</v>
      </c>
      <c r="E17" s="277">
        <f>'Income&amp;Equity'!E3*DATA!Q64</f>
        <v>402.08092569191547</v>
      </c>
      <c r="F17" s="277">
        <f>'Income&amp;Equity'!F3*DATA!R64</f>
        <v>415.93037979908144</v>
      </c>
      <c r="G17" s="277">
        <f>'Income&amp;Equity'!G3*DATA!S64</f>
        <v>433.13243871669783</v>
      </c>
      <c r="H17" s="277">
        <f>'Income&amp;Equity'!H3*DATA!T64</f>
        <v>453.12545183441637</v>
      </c>
      <c r="I17" s="277">
        <f>'Income&amp;Equity'!I3*DATA!U64</f>
        <v>475.20159124591942</v>
      </c>
      <c r="J17" s="277">
        <f>'Income&amp;Equity'!J3*DATA!V64</f>
        <v>498.8264714528845</v>
      </c>
      <c r="K17" s="277">
        <f>'Income&amp;Equity'!K3*DATA!W64</f>
        <v>523.7677950255287</v>
      </c>
      <c r="L17" s="277">
        <f>'Income&amp;Equity'!L3*DATA!X64</f>
        <v>549.95618477680512</v>
      </c>
      <c r="M17" s="277">
        <f>'Income&amp;Equity'!M3*DATA!Y64</f>
        <v>577.45399401564532</v>
      </c>
      <c r="N17" s="277">
        <f>'Income&amp;Equity'!N3*DATA!Z64</f>
        <v>606.32669371642771</v>
      </c>
      <c r="Q17" s="18"/>
      <c r="R17" s="18"/>
      <c r="S17" s="18"/>
    </row>
    <row r="18" spans="1:19" x14ac:dyDescent="0.25">
      <c r="A18" s="319">
        <v>2</v>
      </c>
      <c r="B18" s="5" t="s">
        <v>36</v>
      </c>
      <c r="C18" s="98">
        <f>SUMIF(DATA!$A$63:$A$69,Balance!A18,DATA!$H$63:$H$69)</f>
        <v>8576</v>
      </c>
      <c r="D18" s="196">
        <f>-'Income&amp;Equity'!D4*DATA!P63</f>
        <v>9833.4077424337956</v>
      </c>
      <c r="E18" s="196">
        <f>-'Income&amp;Equity'!E4*DATA!Q63</f>
        <v>10095.631948898697</v>
      </c>
      <c r="F18" s="196">
        <f>-'Income&amp;Equity'!F4*DATA!R63</f>
        <v>10443.370382694096</v>
      </c>
      <c r="G18" s="196">
        <f>-'Income&amp;Equity'!G4*DATA!S63</f>
        <v>10875.287552842557</v>
      </c>
      <c r="H18" s="196">
        <f>-'Income&amp;Equity'!H4*DATA!T63</f>
        <v>11377.281278704218</v>
      </c>
      <c r="I18" s="196">
        <f>-'Income&amp;Equity'!I4*DATA!U63</f>
        <v>11931.579093174239</v>
      </c>
      <c r="J18" s="196">
        <f>-'Income&amp;Equity'!J4*DATA!V63</f>
        <v>12524.763400527063</v>
      </c>
      <c r="K18" s="196">
        <f>-'Income&amp;Equity'!K4*DATA!W63</f>
        <v>13151.001570553417</v>
      </c>
      <c r="L18" s="196">
        <f>-'Income&amp;Equity'!L4*DATA!X63</f>
        <v>13808.551649081086</v>
      </c>
      <c r="M18" s="196">
        <f>-'Income&amp;Equity'!M4*DATA!Y63</f>
        <v>14498.979231535139</v>
      </c>
      <c r="N18" s="196">
        <f>-'Income&amp;Equity'!N4*DATA!Z63</f>
        <v>15223.928193111899</v>
      </c>
      <c r="P18" s="18"/>
      <c r="Q18" s="18"/>
      <c r="R18" s="18"/>
      <c r="S18" s="18"/>
    </row>
    <row r="19" spans="1:19" x14ac:dyDescent="0.25">
      <c r="A19" s="319">
        <v>3</v>
      </c>
      <c r="B19" s="5" t="s">
        <v>310</v>
      </c>
      <c r="C19" s="98">
        <f>SUMIF(DATA!$A$63:$A$69,Balance!A19,DATA!$H$63:$H$69)</f>
        <v>534</v>
      </c>
      <c r="D19" s="196">
        <f>'Income&amp;Equity'!D3*DATA!P68</f>
        <v>512.99090897800374</v>
      </c>
      <c r="E19" s="196">
        <f>'Income&amp;Equity'!E3*DATA!Q68</f>
        <v>526.67066655075052</v>
      </c>
      <c r="F19" s="196">
        <f>'Income&amp;Equity'!F3*DATA!R68</f>
        <v>544.81154506527639</v>
      </c>
      <c r="G19" s="196">
        <f>'Income&amp;Equity'!G3*DATA!S68</f>
        <v>567.34387439822297</v>
      </c>
      <c r="H19" s="196">
        <f>'Income&amp;Equity'!H3*DATA!T68</f>
        <v>593.53196956077466</v>
      </c>
      <c r="I19" s="196">
        <f>'Income&amp;Equity'!I3*DATA!U68</f>
        <v>622.4486734275788</v>
      </c>
      <c r="J19" s="196">
        <f>'Income&amp;Equity'!J3*DATA!V68</f>
        <v>653.39401455355323</v>
      </c>
      <c r="K19" s="196">
        <f>'Income&amp;Equity'!K3*DATA!W68</f>
        <v>686.06371528123088</v>
      </c>
      <c r="L19" s="196">
        <f>'Income&amp;Equity'!L3*DATA!X68</f>
        <v>720.36690104529248</v>
      </c>
      <c r="M19" s="196">
        <f>'Income&amp;Equity'!M3*DATA!Y68</f>
        <v>756.385246097557</v>
      </c>
      <c r="N19" s="196">
        <f>'Income&amp;Equity'!N3*DATA!Z68</f>
        <v>794.20450840243495</v>
      </c>
      <c r="Q19" s="18"/>
      <c r="R19" s="18"/>
      <c r="S19" s="18"/>
    </row>
    <row r="20" spans="1:19" x14ac:dyDescent="0.25">
      <c r="A20" s="319">
        <v>4</v>
      </c>
      <c r="B20" s="8" t="s">
        <v>209</v>
      </c>
      <c r="C20" s="95">
        <f>SUMIF(DATA!$A$63:$A$69,Balance!A20,DATA!$H$63:$H$69)</f>
        <v>477</v>
      </c>
      <c r="D20" s="197">
        <f>'Income&amp;Equity'!D3*DATA!P69</f>
        <v>320.71839886848443</v>
      </c>
      <c r="E20" s="197">
        <f>'Income&amp;Equity'!E3*DATA!Q69</f>
        <v>329.27088950497733</v>
      </c>
      <c r="F20" s="197">
        <f>'Income&amp;Equity'!F3*DATA!R69</f>
        <v>340.61244236570434</v>
      </c>
      <c r="G20" s="197">
        <f>'Income&amp;Equity'!G3*DATA!S69</f>
        <v>354.69950016724891</v>
      </c>
      <c r="H20" s="197">
        <f>'Income&amp;Equity'!H3*DATA!T69</f>
        <v>371.07211769897447</v>
      </c>
      <c r="I20" s="197">
        <f>'Income&amp;Equity'!I3*DATA!U69</f>
        <v>389.15064268334839</v>
      </c>
      <c r="J20" s="197">
        <f>'Income&amp;Equity'!J3*DATA!V69</f>
        <v>408.49745777239929</v>
      </c>
      <c r="K20" s="197">
        <f>'Income&amp;Equity'!K3*DATA!W69</f>
        <v>428.92233066101926</v>
      </c>
      <c r="L20" s="197">
        <f>'Income&amp;Equity'!L3*DATA!X69</f>
        <v>450.36844719407026</v>
      </c>
      <c r="M20" s="197">
        <f>'Income&amp;Equity'!M3*DATA!Y69</f>
        <v>472.88686955377375</v>
      </c>
      <c r="N20" s="197">
        <f>'Income&amp;Equity'!N3*DATA!Z69</f>
        <v>496.53121303146247</v>
      </c>
      <c r="P20" s="18"/>
      <c r="Q20" s="18"/>
      <c r="R20" s="18"/>
      <c r="S20" s="18"/>
    </row>
    <row r="21" spans="1:19" x14ac:dyDescent="0.25">
      <c r="B21" s="5" t="s">
        <v>37</v>
      </c>
      <c r="C21" s="19">
        <f>SUM(C17:C20)</f>
        <v>10593</v>
      </c>
      <c r="D21" s="196">
        <f>SUM(D17:D20)</f>
        <v>11058.754315564616</v>
      </c>
      <c r="E21" s="196">
        <f t="shared" ref="E21:N21" si="3">SUM(E17:E20)</f>
        <v>11353.65443064634</v>
      </c>
      <c r="F21" s="196">
        <f t="shared" si="3"/>
        <v>11744.724749924158</v>
      </c>
      <c r="G21" s="196">
        <f t="shared" si="3"/>
        <v>12230.463366124726</v>
      </c>
      <c r="H21" s="196">
        <f t="shared" si="3"/>
        <v>12795.010817798382</v>
      </c>
      <c r="I21" s="196">
        <f t="shared" si="3"/>
        <v>13418.380000531084</v>
      </c>
      <c r="J21" s="196">
        <f t="shared" si="3"/>
        <v>14085.481344305899</v>
      </c>
      <c r="K21" s="196">
        <f t="shared" si="3"/>
        <v>14789.755411521197</v>
      </c>
      <c r="L21" s="196">
        <f t="shared" si="3"/>
        <v>15529.243182097254</v>
      </c>
      <c r="M21" s="196">
        <f t="shared" si="3"/>
        <v>16305.705341202114</v>
      </c>
      <c r="N21" s="196">
        <f t="shared" si="3"/>
        <v>17120.990608262226</v>
      </c>
      <c r="P21" s="18"/>
      <c r="Q21" s="18"/>
      <c r="R21" s="18"/>
      <c r="S21" s="18"/>
    </row>
    <row r="22" spans="1:19" x14ac:dyDescent="0.25">
      <c r="B22" s="5"/>
      <c r="C22" s="196"/>
      <c r="D22" s="322"/>
      <c r="E22" s="196"/>
      <c r="F22" s="196"/>
      <c r="G22" s="196"/>
      <c r="H22" s="196"/>
      <c r="I22" s="196"/>
      <c r="J22" s="196"/>
      <c r="K22" s="196"/>
      <c r="L22" s="196"/>
      <c r="M22" s="196"/>
      <c r="N22" s="196"/>
      <c r="P22" s="18"/>
      <c r="Q22" s="18"/>
      <c r="R22" s="18"/>
      <c r="S22" s="18"/>
    </row>
    <row r="23" spans="1:19" x14ac:dyDescent="0.25">
      <c r="B23" s="5" t="s">
        <v>309</v>
      </c>
      <c r="C23" s="277">
        <f>DATA!H72+DATA!H73</f>
        <v>7903</v>
      </c>
      <c r="D23" s="277">
        <f>C23*(1+$Q$11)</f>
        <v>8659.9906008605922</v>
      </c>
      <c r="E23" s="277">
        <f t="shared" ref="E23:N23" si="4">D23*(1+$Q$11)</f>
        <v>9489.4897136522595</v>
      </c>
      <c r="F23" s="277">
        <f t="shared" si="4"/>
        <v>10398.442582208256</v>
      </c>
      <c r="G23" s="277">
        <f t="shared" si="4"/>
        <v>11394.459702076685</v>
      </c>
      <c r="H23" s="277">
        <f t="shared" si="4"/>
        <v>12485.880541802971</v>
      </c>
      <c r="I23" s="277">
        <f t="shared" si="4"/>
        <v>13681.843367769441</v>
      </c>
      <c r="J23" s="277">
        <f t="shared" si="4"/>
        <v>14992.361757222598</v>
      </c>
      <c r="K23" s="277">
        <f t="shared" si="4"/>
        <v>16428.408440117611</v>
      </c>
      <c r="L23" s="277">
        <f t="shared" si="4"/>
        <v>18002.007171772409</v>
      </c>
      <c r="M23" s="277">
        <f t="shared" si="4"/>
        <v>19726.333405564223</v>
      </c>
      <c r="N23" s="277">
        <f t="shared" si="4"/>
        <v>21615.824608582625</v>
      </c>
      <c r="Q23" s="18"/>
      <c r="R23" s="18"/>
      <c r="S23" s="18"/>
    </row>
    <row r="24" spans="1:19" x14ac:dyDescent="0.25">
      <c r="B24" s="5" t="s">
        <v>311</v>
      </c>
      <c r="C24" s="277">
        <f>DATA!H74</f>
        <v>2566</v>
      </c>
      <c r="D24" s="277">
        <f>'Income&amp;Equity'!D3*DATA!P74</f>
        <v>3221.9118351715924</v>
      </c>
      <c r="E24" s="277">
        <f>'Income&amp;Equity'!E3*DATA!Q74</f>
        <v>3307.8294841095012</v>
      </c>
      <c r="F24" s="277">
        <f>'Income&amp;Equity'!F3*DATA!R74</f>
        <v>3421.7658330066065</v>
      </c>
      <c r="G24" s="277">
        <f>'Income&amp;Equity'!G3*DATA!S74</f>
        <v>3563.2833088161392</v>
      </c>
      <c r="H24" s="277">
        <f>'Income&amp;Equity'!H3*DATA!T74</f>
        <v>3727.7613380913967</v>
      </c>
      <c r="I24" s="277">
        <f>'Income&amp;Equity'!I3*DATA!U74</f>
        <v>3909.3767795974045</v>
      </c>
      <c r="J24" s="277">
        <f>'Income&amp;Equity'!J3*DATA!V74</f>
        <v>4103.7333638414239</v>
      </c>
      <c r="K24" s="277">
        <f>'Income&amp;Equity'!K3*DATA!W74</f>
        <v>4308.9200320334949</v>
      </c>
      <c r="L24" s="277">
        <f>'Income&amp;Equity'!L3*DATA!X74</f>
        <v>4524.3660336351695</v>
      </c>
      <c r="M24" s="277">
        <f>'Income&amp;Equity'!M3*DATA!Y74</f>
        <v>4750.5843353169275</v>
      </c>
      <c r="N24" s="277">
        <f>'Income&amp;Equity'!N3*DATA!Z74</f>
        <v>4988.1135520827747</v>
      </c>
      <c r="Q24" s="18"/>
      <c r="R24" s="18"/>
      <c r="S24" s="18"/>
    </row>
    <row r="25" spans="1:19" x14ac:dyDescent="0.25">
      <c r="B25" s="5" t="s">
        <v>312</v>
      </c>
      <c r="C25" s="277">
        <f>DATA!H75</f>
        <v>2618</v>
      </c>
      <c r="D25" s="277">
        <f>'Income&amp;Equity'!D3*DATA!P75</f>
        <v>3090.5836554613011</v>
      </c>
      <c r="E25" s="277">
        <f>'Income&amp;Equity'!E3*DATA!Q75</f>
        <v>3172.9992196069356</v>
      </c>
      <c r="F25" s="277">
        <f>'Income&amp;Equity'!F3*DATA!R75</f>
        <v>3282.291414948952</v>
      </c>
      <c r="G25" s="277">
        <f>'Income&amp;Equity'!G3*DATA!S75</f>
        <v>3418.0405043326436</v>
      </c>
      <c r="H25" s="277">
        <f>'Income&amp;Equity'!H3*DATA!T75</f>
        <v>3575.814253263773</v>
      </c>
      <c r="I25" s="277">
        <f>'Income&amp;Equity'!I3*DATA!U75</f>
        <v>3750.0268772625182</v>
      </c>
      <c r="J25" s="277">
        <f>'Income&amp;Equity'!J3*DATA!V75</f>
        <v>3936.4613029468765</v>
      </c>
      <c r="K25" s="277">
        <f>'Income&amp;Equity'!K3*DATA!W75</f>
        <v>4133.2843680942196</v>
      </c>
      <c r="L25" s="277">
        <f>'Income&amp;Equity'!L3*DATA!X75</f>
        <v>4339.948586498931</v>
      </c>
      <c r="M25" s="277">
        <f>'Income&amp;Equity'!M3*DATA!Y75</f>
        <v>4556.9460158238771</v>
      </c>
      <c r="N25" s="277">
        <f>'Income&amp;Equity'!N3*DATA!Z75</f>
        <v>4784.7933166150724</v>
      </c>
      <c r="P25" s="18"/>
      <c r="Q25" s="18"/>
      <c r="R25" s="18"/>
      <c r="S25" s="18"/>
    </row>
    <row r="26" spans="1:19" x14ac:dyDescent="0.25">
      <c r="B26" s="5" t="s">
        <v>38</v>
      </c>
      <c r="C26" s="288">
        <f>'Income&amp;Equity'!C22</f>
        <v>15223</v>
      </c>
      <c r="D26" s="288">
        <f>'Income&amp;Equity'!D22</f>
        <v>15626.03822137928</v>
      </c>
      <c r="E26" s="288">
        <f>'Income&amp;Equity'!E22</f>
        <v>16180.984041922551</v>
      </c>
      <c r="F26" s="288">
        <f>'Income&amp;Equity'!F22</f>
        <v>16909.166389599242</v>
      </c>
      <c r="G26" s="288">
        <f>'Income&amp;Equity'!G22</f>
        <v>17857.404252264678</v>
      </c>
      <c r="H26" s="288">
        <f>'Income&amp;Equity'!H22</f>
        <v>19063.804261618418</v>
      </c>
      <c r="I26" s="288">
        <f>'Income&amp;Equity'!I22</f>
        <v>20555.563965709669</v>
      </c>
      <c r="J26" s="288">
        <f>'Income&amp;Equity'!J22</f>
        <v>22351.541235724639</v>
      </c>
      <c r="K26" s="288">
        <f>'Income&amp;Equity'!K22</f>
        <v>24466.733016413553</v>
      </c>
      <c r="L26" s="288">
        <f>'Income&amp;Equity'!L22</f>
        <v>26914.662582785517</v>
      </c>
      <c r="M26" s="288">
        <f>'Income&amp;Equity'!M22</f>
        <v>29709.301906544519</v>
      </c>
      <c r="N26" s="288">
        <f>'Income&amp;Equity'!N22</f>
        <v>32865.066298260623</v>
      </c>
      <c r="P26" s="18"/>
      <c r="Q26" s="18"/>
      <c r="R26" s="18"/>
      <c r="S26" s="18"/>
    </row>
    <row r="27" spans="1:19" ht="13.8" thickBot="1" x14ac:dyDescent="0.3">
      <c r="B27" s="10" t="s">
        <v>39</v>
      </c>
      <c r="C27" s="286">
        <f>SUM(C21:C26)</f>
        <v>38903</v>
      </c>
      <c r="D27" s="286">
        <f>SUM(D21:D26)</f>
        <v>41657.278628437387</v>
      </c>
      <c r="E27" s="286">
        <f t="shared" ref="E27:N27" si="5">SUM(E21:E26)</f>
        <v>43504.956889937588</v>
      </c>
      <c r="F27" s="286">
        <f t="shared" si="5"/>
        <v>45756.390969687214</v>
      </c>
      <c r="G27" s="286">
        <f t="shared" si="5"/>
        <v>48463.651133614869</v>
      </c>
      <c r="H27" s="286">
        <f t="shared" si="5"/>
        <v>51648.271212574939</v>
      </c>
      <c r="I27" s="286">
        <f t="shared" si="5"/>
        <v>55315.19099087012</v>
      </c>
      <c r="J27" s="286">
        <f t="shared" si="5"/>
        <v>59469.579004041429</v>
      </c>
      <c r="K27" s="286">
        <f t="shared" si="5"/>
        <v>64127.101268180078</v>
      </c>
      <c r="L27" s="286">
        <f t="shared" si="5"/>
        <v>69310.227556789279</v>
      </c>
      <c r="M27" s="286">
        <f t="shared" si="5"/>
        <v>75048.871004451663</v>
      </c>
      <c r="N27" s="286">
        <f t="shared" si="5"/>
        <v>81374.78838380333</v>
      </c>
    </row>
    <row r="28" spans="1:19" ht="13.8" thickTop="1" x14ac:dyDescent="0.25">
      <c r="C28" s="78"/>
      <c r="D28" s="78"/>
      <c r="E28" s="78"/>
      <c r="F28" s="78"/>
      <c r="G28" s="78"/>
      <c r="H28" s="78"/>
      <c r="I28" s="78"/>
      <c r="J28" s="78"/>
      <c r="K28" s="78"/>
      <c r="L28" s="78"/>
      <c r="M28" s="78"/>
      <c r="N28" s="78"/>
    </row>
    <row r="29" spans="1:19" x14ac:dyDescent="0.25">
      <c r="B29" s="13" t="s">
        <v>15</v>
      </c>
      <c r="C29" s="78">
        <f>C14-C27</f>
        <v>0</v>
      </c>
      <c r="D29" s="78">
        <f>D14-D27</f>
        <v>0</v>
      </c>
      <c r="E29" s="78">
        <f t="shared" ref="E29:N29" si="6">E14-E27</f>
        <v>0</v>
      </c>
      <c r="F29" s="78">
        <f t="shared" si="6"/>
        <v>0</v>
      </c>
      <c r="G29" s="78">
        <f t="shared" si="6"/>
        <v>0</v>
      </c>
      <c r="H29" s="78">
        <f t="shared" si="6"/>
        <v>0</v>
      </c>
      <c r="I29" s="78">
        <f t="shared" si="6"/>
        <v>0</v>
      </c>
      <c r="J29" s="78">
        <f t="shared" si="6"/>
        <v>0</v>
      </c>
      <c r="K29" s="78">
        <f t="shared" si="6"/>
        <v>0</v>
      </c>
      <c r="L29" s="78">
        <f t="shared" si="6"/>
        <v>0</v>
      </c>
      <c r="M29" s="78">
        <f t="shared" si="6"/>
        <v>0</v>
      </c>
      <c r="N29" s="78">
        <f t="shared" si="6"/>
        <v>0</v>
      </c>
    </row>
    <row r="30" spans="1:19" x14ac:dyDescent="0.25">
      <c r="D30" s="18"/>
    </row>
    <row r="31" spans="1:19" x14ac:dyDescent="0.25">
      <c r="D31" s="18"/>
    </row>
  </sheetData>
  <sheetProtection sheet="1" objects="1" scenarios="1"/>
  <conditionalFormatting sqref="B11">
    <cfRule type="expression" dxfId="32" priority="5">
      <formula>_xlfn.ISFORMULA(B11)</formula>
    </cfRule>
  </conditionalFormatting>
  <conditionalFormatting sqref="B13">
    <cfRule type="expression" dxfId="31" priority="4">
      <formula>_xlfn.ISFORMULA(B13)</formula>
    </cfRule>
  </conditionalFormatting>
  <conditionalFormatting sqref="B1:N10 C11:N11 B12:N12 C13:N13 B14:N29">
    <cfRule type="expression" dxfId="30" priority="6">
      <formula>_xlfn.ISFORMULA(B1)</formula>
    </cfRule>
  </conditionalFormatting>
  <conditionalFormatting sqref="P2:Q7">
    <cfRule type="expression" dxfId="29" priority="2">
      <formula>_xlfn.ISFORMULA(P2)</formula>
    </cfRule>
  </conditionalFormatting>
  <conditionalFormatting sqref="P9:Q9">
    <cfRule type="expression" dxfId="28" priority="3">
      <formula>_xlfn.ISFORMULA(P9)</formula>
    </cfRule>
  </conditionalFormatting>
  <conditionalFormatting sqref="P11:Q13">
    <cfRule type="expression" dxfId="27" priority="1">
      <formula>_xlfn.ISFORMULA(P11)</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D2EEE-D19D-403E-82FC-318D22D59400}">
  <sheetPr>
    <tabColor theme="8" tint="-0.249977111117893"/>
  </sheetPr>
  <dimension ref="B1:O56"/>
  <sheetViews>
    <sheetView showGridLines="0" workbookViewId="0">
      <selection activeCell="N15" sqref="C15:N15"/>
    </sheetView>
  </sheetViews>
  <sheetFormatPr defaultColWidth="9.33203125" defaultRowHeight="13.2" x14ac:dyDescent="0.25"/>
  <cols>
    <col min="1" max="1" width="9.33203125" style="13"/>
    <col min="2" max="2" width="33.21875" style="13" bestFit="1" customWidth="1"/>
    <col min="3" max="16" width="10.33203125" style="13" customWidth="1"/>
    <col min="17" max="2007" width="9.33203125" style="13"/>
    <col min="2008" max="2008" width="2.33203125" style="13" customWidth="1"/>
    <col min="2009" max="16384" width="9.33203125" style="13"/>
  </cols>
  <sheetData>
    <row r="1" spans="2:15" x14ac:dyDescent="0.25">
      <c r="B1" s="3"/>
    </row>
    <row r="2" spans="2:15" x14ac:dyDescent="0.25">
      <c r="B2" s="16" t="s">
        <v>53</v>
      </c>
      <c r="C2" s="17">
        <v>2024</v>
      </c>
      <c r="D2" s="17">
        <v>2025</v>
      </c>
      <c r="E2" s="17">
        <v>2026</v>
      </c>
      <c r="F2" s="17">
        <v>2027</v>
      </c>
      <c r="G2" s="17">
        <v>2028</v>
      </c>
      <c r="H2" s="17">
        <v>2029</v>
      </c>
      <c r="I2" s="17">
        <v>2030</v>
      </c>
      <c r="J2" s="17">
        <v>2031</v>
      </c>
      <c r="K2" s="17">
        <v>2032</v>
      </c>
      <c r="L2" s="17">
        <v>2033</v>
      </c>
      <c r="M2" s="17">
        <v>2034</v>
      </c>
      <c r="N2" s="17">
        <v>2035</v>
      </c>
    </row>
    <row r="3" spans="2:15" x14ac:dyDescent="0.25">
      <c r="B3" s="5" t="s">
        <v>18</v>
      </c>
      <c r="C3" s="92">
        <f>Balance!C8-Balance!C4-Balance!C18-Balance!C20</f>
        <v>5774.24</v>
      </c>
      <c r="D3" s="92">
        <f>Balance!D8-Balance!D4-Balance!D18-Balance!D20</f>
        <v>6468.6159862873064</v>
      </c>
      <c r="E3" s="92">
        <f>Balance!E8-Balance!E4-Balance!E18-Balance!E20</f>
        <v>6641.112412588297</v>
      </c>
      <c r="F3" s="92">
        <f>Balance!F8-Balance!F4-Balance!F18-Balance!F20</f>
        <v>6869.8618401330014</v>
      </c>
      <c r="G3" s="92">
        <f>Balance!G8-Balance!G4-Balance!G18-Balance!G20</f>
        <v>7153.9857557434507</v>
      </c>
      <c r="H3" s="92">
        <f>Balance!H8-Balance!H4-Balance!H18-Balance!H20</f>
        <v>7484.2074576375044</v>
      </c>
      <c r="I3" s="92">
        <f>Balance!I8-Balance!I4-Balance!I18-Balance!I20</f>
        <v>7848.835854807724</v>
      </c>
      <c r="J3" s="92">
        <f>Balance!J8-Balance!J4-Balance!J18-Balance!J20</f>
        <v>8239.0445793782746</v>
      </c>
      <c r="K3" s="92">
        <f>Balance!K8-Balance!K4-Balance!K18-Balance!K20</f>
        <v>8650.9968083471758</v>
      </c>
      <c r="L3" s="92">
        <f>Balance!L8-Balance!L4-Balance!L18-Balance!L20</f>
        <v>9083.5466487645426</v>
      </c>
      <c r="M3" s="92">
        <f>Balance!M8-Balance!M4-Balance!M18-Balance!M20</f>
        <v>9537.7239812027765</v>
      </c>
      <c r="N3" s="92">
        <f>Balance!N8-Balance!N4-Balance!N18-Balance!N20</f>
        <v>10014.610180262904</v>
      </c>
    </row>
    <row r="4" spans="2:15" x14ac:dyDescent="0.25">
      <c r="B4" s="5" t="s">
        <v>19</v>
      </c>
      <c r="C4" s="93">
        <f>Balance!C10</f>
        <v>5000</v>
      </c>
      <c r="D4" s="93">
        <f>Balance!D10</f>
        <v>5122.5034666666661</v>
      </c>
      <c r="E4" s="93">
        <f>Balance!E10</f>
        <v>5298.9452527407402</v>
      </c>
      <c r="F4" s="93">
        <f>Balance!F10</f>
        <v>5518.0991613417473</v>
      </c>
      <c r="G4" s="93">
        <f>Balance!G10</f>
        <v>5772.8097742075206</v>
      </c>
      <c r="H4" s="93">
        <f>Balance!H10</f>
        <v>6054.0593770615733</v>
      </c>
      <c r="I4" s="93">
        <f>Balance!I10</f>
        <v>6355.0399086585649</v>
      </c>
      <c r="J4" s="93">
        <f>Balance!J10</f>
        <v>6672.7919040914931</v>
      </c>
      <c r="K4" s="93">
        <f>Balance!K10</f>
        <v>7006.4314992960672</v>
      </c>
      <c r="L4" s="93">
        <f>Balance!L10</f>
        <v>7356.7530742608706</v>
      </c>
      <c r="M4" s="93">
        <f>Balance!M10</f>
        <v>7724.5907279739149</v>
      </c>
      <c r="N4" s="93">
        <f>Balance!N10</f>
        <v>8110.8202643726117</v>
      </c>
    </row>
    <row r="5" spans="2:15" x14ac:dyDescent="0.25">
      <c r="B5" s="5" t="str">
        <f>Balance!B11</f>
        <v>Operating Lease Right-of-Use Asset</v>
      </c>
      <c r="C5" s="93">
        <f>Balance!C11</f>
        <v>2718</v>
      </c>
      <c r="D5" s="93">
        <f>Balance!D11</f>
        <v>3408.7314892826143</v>
      </c>
      <c r="E5" s="93">
        <f>Balance!E11</f>
        <v>3499.6309956634841</v>
      </c>
      <c r="F5" s="93">
        <f>Balance!F11</f>
        <v>3620.1738410696707</v>
      </c>
      <c r="G5" s="93">
        <f>Balance!G11</f>
        <v>3769.8970801756391</v>
      </c>
      <c r="H5" s="93">
        <f>Balance!H11</f>
        <v>3943.9122197475317</v>
      </c>
      <c r="I5" s="93">
        <f>Balance!I11</f>
        <v>4136.0584689537964</v>
      </c>
      <c r="J5" s="93">
        <f>Balance!J11</f>
        <v>4341.6846445771625</v>
      </c>
      <c r="K5" s="93">
        <f>Balance!K11</f>
        <v>4558.7688768060207</v>
      </c>
      <c r="L5" s="93">
        <f>Balance!L11</f>
        <v>4786.7073206463219</v>
      </c>
      <c r="M5" s="93">
        <f>Balance!M11</f>
        <v>5026.0426866786374</v>
      </c>
      <c r="N5" s="93">
        <f>Balance!N11</f>
        <v>5277.3448210125707</v>
      </c>
      <c r="O5" s="5"/>
    </row>
    <row r="6" spans="2:15" x14ac:dyDescent="0.25">
      <c r="B6" s="5" t="str">
        <f>Balance!B13</f>
        <v xml:space="preserve">Other Non-Current Assets </v>
      </c>
      <c r="C6" s="93">
        <f>Balance!C13</f>
        <v>4511</v>
      </c>
      <c r="D6" s="93">
        <f>Balance!D13</f>
        <v>3887.3919470423107</v>
      </c>
      <c r="E6" s="93">
        <f>Balance!E13</f>
        <v>3991.055732296772</v>
      </c>
      <c r="F6" s="93">
        <f>Balance!F13</f>
        <v>4128.5254297425499</v>
      </c>
      <c r="G6" s="93">
        <f>Balance!G13</f>
        <v>4299.2730864047426</v>
      </c>
      <c r="H6" s="93">
        <f>Balance!H13</f>
        <v>4497.7237576770594</v>
      </c>
      <c r="I6" s="93">
        <f>Balance!I13</f>
        <v>4716.8515429447734</v>
      </c>
      <c r="J6" s="93">
        <f>Balance!J13</f>
        <v>4951.3521311350187</v>
      </c>
      <c r="K6" s="93">
        <f>Balance!K13</f>
        <v>5198.9197376917691</v>
      </c>
      <c r="L6" s="93">
        <f>Balance!L13</f>
        <v>5458.8657245763579</v>
      </c>
      <c r="M6" s="93">
        <f>Balance!M13</f>
        <v>5731.8090108051756</v>
      </c>
      <c r="N6" s="93">
        <f>Balance!N13</f>
        <v>6018.3994613454352</v>
      </c>
      <c r="O6" s="5"/>
    </row>
    <row r="7" spans="2:15" x14ac:dyDescent="0.25">
      <c r="B7" s="8" t="str">
        <f>Balance!B25</f>
        <v>Other long term liabilities</v>
      </c>
      <c r="C7" s="95">
        <f>-Balance!C25</f>
        <v>-2618</v>
      </c>
      <c r="D7" s="95">
        <f>-Balance!D25</f>
        <v>-3090.5836554613011</v>
      </c>
      <c r="E7" s="95">
        <f>-Balance!E25</f>
        <v>-3172.9992196069356</v>
      </c>
      <c r="F7" s="95">
        <f>-Balance!F25</f>
        <v>-3282.291414948952</v>
      </c>
      <c r="G7" s="95">
        <f>-Balance!G25</f>
        <v>-3418.0405043326436</v>
      </c>
      <c r="H7" s="95">
        <f>-Balance!H25</f>
        <v>-3575.814253263773</v>
      </c>
      <c r="I7" s="95">
        <f>-Balance!I25</f>
        <v>-3750.0268772625182</v>
      </c>
      <c r="J7" s="95">
        <f>-Balance!J25</f>
        <v>-3936.4613029468765</v>
      </c>
      <c r="K7" s="95">
        <f>-Balance!K25</f>
        <v>-4133.2843680942196</v>
      </c>
      <c r="L7" s="95">
        <f>-Balance!L25</f>
        <v>-4339.948586498931</v>
      </c>
      <c r="M7" s="95">
        <f>-Balance!M25</f>
        <v>-4556.9460158238771</v>
      </c>
      <c r="N7" s="95">
        <f>-Balance!N25</f>
        <v>-4784.7933166150724</v>
      </c>
      <c r="O7" s="5"/>
    </row>
    <row r="8" spans="2:15" x14ac:dyDescent="0.25">
      <c r="B8" s="5" t="s">
        <v>20</v>
      </c>
      <c r="C8" s="93">
        <f>SUM(C3:C7)</f>
        <v>15385.239999999998</v>
      </c>
      <c r="D8" s="93">
        <f t="shared" ref="D8:N8" si="0">SUM(D3:D7)</f>
        <v>15796.659233817594</v>
      </c>
      <c r="E8" s="93">
        <f t="shared" si="0"/>
        <v>16257.745173682357</v>
      </c>
      <c r="F8" s="93">
        <f t="shared" si="0"/>
        <v>16854.368857338017</v>
      </c>
      <c r="G8" s="93">
        <f t="shared" si="0"/>
        <v>17577.925192198712</v>
      </c>
      <c r="H8" s="93">
        <f t="shared" si="0"/>
        <v>18404.088558859898</v>
      </c>
      <c r="I8" s="93">
        <f t="shared" si="0"/>
        <v>19306.75889810234</v>
      </c>
      <c r="J8" s="93">
        <f t="shared" si="0"/>
        <v>20268.411956235075</v>
      </c>
      <c r="K8" s="93">
        <f t="shared" si="0"/>
        <v>21281.832554046814</v>
      </c>
      <c r="L8" s="93">
        <f t="shared" si="0"/>
        <v>22345.924181749157</v>
      </c>
      <c r="M8" s="93">
        <f t="shared" si="0"/>
        <v>23463.220390836628</v>
      </c>
      <c r="N8" s="93">
        <f t="shared" si="0"/>
        <v>24636.38141037845</v>
      </c>
    </row>
    <row r="9" spans="2:15" x14ac:dyDescent="0.25">
      <c r="B9" s="5"/>
      <c r="C9" s="93"/>
      <c r="D9" s="93"/>
      <c r="E9" s="93"/>
      <c r="F9" s="93"/>
      <c r="G9" s="93"/>
      <c r="H9" s="93"/>
      <c r="I9" s="93"/>
      <c r="J9" s="93"/>
      <c r="K9" s="93"/>
      <c r="L9" s="93"/>
      <c r="M9" s="93"/>
      <c r="N9" s="91"/>
    </row>
    <row r="10" spans="2:15" x14ac:dyDescent="0.25">
      <c r="B10" s="6" t="s">
        <v>21</v>
      </c>
      <c r="C10" s="93">
        <f>Balance!C12</f>
        <v>1292</v>
      </c>
      <c r="D10" s="93">
        <f>Balance!D12</f>
        <v>1292</v>
      </c>
      <c r="E10" s="93">
        <f>Balance!E12</f>
        <v>1292</v>
      </c>
      <c r="F10" s="93">
        <f>Balance!F12</f>
        <v>1292</v>
      </c>
      <c r="G10" s="93">
        <f>Balance!G12</f>
        <v>1292</v>
      </c>
      <c r="H10" s="93">
        <f>Balance!H12</f>
        <v>1292</v>
      </c>
      <c r="I10" s="93">
        <f>Balance!I12</f>
        <v>1292</v>
      </c>
      <c r="J10" s="93">
        <f>Balance!J12</f>
        <v>1292</v>
      </c>
      <c r="K10" s="93">
        <f>Balance!K12</f>
        <v>1292</v>
      </c>
      <c r="L10" s="93">
        <f>Balance!L12</f>
        <v>1292</v>
      </c>
      <c r="M10" s="93">
        <f>Balance!M12</f>
        <v>1292</v>
      </c>
      <c r="N10" s="93">
        <f>Balance!N12</f>
        <v>1292</v>
      </c>
    </row>
    <row r="11" spans="2:15" x14ac:dyDescent="0.25">
      <c r="B11" s="27" t="s">
        <v>22</v>
      </c>
      <c r="C11" s="94">
        <f>SUM(C8:C10)</f>
        <v>16677.239999999998</v>
      </c>
      <c r="D11" s="94">
        <f t="shared" ref="D11:N11" si="1">SUM(D8:D10)</f>
        <v>17088.659233817594</v>
      </c>
      <c r="E11" s="94">
        <f t="shared" ref="E11:M11" si="2">SUM(E8:E10)</f>
        <v>17549.745173682357</v>
      </c>
      <c r="F11" s="94">
        <f t="shared" si="2"/>
        <v>18146.368857338017</v>
      </c>
      <c r="G11" s="94">
        <f t="shared" si="2"/>
        <v>18869.925192198712</v>
      </c>
      <c r="H11" s="94">
        <f t="shared" si="2"/>
        <v>19696.088558859898</v>
      </c>
      <c r="I11" s="94">
        <f t="shared" si="2"/>
        <v>20598.75889810234</v>
      </c>
      <c r="J11" s="94">
        <f t="shared" si="2"/>
        <v>21560.411956235075</v>
      </c>
      <c r="K11" s="94">
        <f t="shared" si="2"/>
        <v>22573.832554046814</v>
      </c>
      <c r="L11" s="94">
        <f t="shared" si="2"/>
        <v>23637.924181749157</v>
      </c>
      <c r="M11" s="94">
        <f t="shared" si="2"/>
        <v>24755.220390836628</v>
      </c>
      <c r="N11" s="94">
        <f t="shared" si="1"/>
        <v>25928.38141037845</v>
      </c>
    </row>
    <row r="12" spans="2:15" x14ac:dyDescent="0.25">
      <c r="B12" s="5"/>
      <c r="C12" s="93"/>
      <c r="D12" s="93"/>
      <c r="E12" s="93"/>
      <c r="F12" s="93"/>
      <c r="G12" s="93"/>
      <c r="H12" s="93"/>
      <c r="I12" s="93"/>
      <c r="J12" s="93"/>
      <c r="K12" s="93"/>
      <c r="L12" s="93"/>
      <c r="M12" s="93"/>
      <c r="N12" s="91"/>
    </row>
    <row r="13" spans="2:15" x14ac:dyDescent="0.25">
      <c r="B13" s="5" t="str">
        <f>Balance!B4</f>
        <v>Excess cash</v>
      </c>
      <c r="C13" s="93">
        <f>Balance!C4</f>
        <v>10554.76</v>
      </c>
      <c r="D13" s="93">
        <f>Balance!D4</f>
        <v>11323.909597856207</v>
      </c>
      <c r="E13" s="93">
        <f>Balance!E4</f>
        <v>12357.309658244616</v>
      </c>
      <c r="F13" s="93">
        <f>Balance!F4</f>
        <v>13543.74787234044</v>
      </c>
      <c r="G13" s="93">
        <f>Balance!G4</f>
        <v>14945.698384073716</v>
      </c>
      <c r="H13" s="93">
        <f>Balance!H4</f>
        <v>16628.01500404808</v>
      </c>
      <c r="I13" s="93">
        <f>Balance!I4</f>
        <v>18645.675479647674</v>
      </c>
      <c r="J13" s="93">
        <f>Balance!J4</f>
        <v>21039.444886560013</v>
      </c>
      <c r="K13" s="93">
        <f>Balance!K4</f>
        <v>23840.060444824619</v>
      </c>
      <c r="L13" s="93">
        <f>Balance!L4</f>
        <v>27073.43469226603</v>
      </c>
      <c r="M13" s="93">
        <f>Balance!M4</f>
        <v>30764.838496702243</v>
      </c>
      <c r="N13" s="93">
        <f>Balance!N4</f>
        <v>34941.154250666448</v>
      </c>
    </row>
    <row r="14" spans="2:15" x14ac:dyDescent="0.25">
      <c r="B14" s="28" t="s">
        <v>23</v>
      </c>
      <c r="C14" s="95">
        <v>0</v>
      </c>
      <c r="D14" s="95">
        <v>0</v>
      </c>
      <c r="E14" s="95">
        <v>0</v>
      </c>
      <c r="F14" s="95">
        <v>0</v>
      </c>
      <c r="G14" s="95">
        <v>0</v>
      </c>
      <c r="H14" s="95">
        <v>0</v>
      </c>
      <c r="I14" s="95">
        <v>0</v>
      </c>
      <c r="J14" s="95">
        <v>0</v>
      </c>
      <c r="K14" s="95">
        <v>0</v>
      </c>
      <c r="L14" s="95">
        <v>0</v>
      </c>
      <c r="M14" s="95">
        <v>0</v>
      </c>
      <c r="N14" s="95">
        <v>0</v>
      </c>
    </row>
    <row r="15" spans="2:15" ht="13.8" thickBot="1" x14ac:dyDescent="0.3">
      <c r="B15" s="10" t="s">
        <v>41</v>
      </c>
      <c r="C15" s="96">
        <f>SUM(C11:C14)</f>
        <v>27232</v>
      </c>
      <c r="D15" s="96">
        <f t="shared" ref="D15:N15" si="3">SUM(D11:D14)</f>
        <v>28412.568831673801</v>
      </c>
      <c r="E15" s="96">
        <f t="shared" ref="E15:M15" si="4">SUM(E11:E14)</f>
        <v>29907.054831926973</v>
      </c>
      <c r="F15" s="96">
        <f t="shared" si="4"/>
        <v>31690.116729678455</v>
      </c>
      <c r="G15" s="96">
        <f t="shared" si="4"/>
        <v>33815.623576272425</v>
      </c>
      <c r="H15" s="96">
        <f t="shared" si="4"/>
        <v>36324.103562907978</v>
      </c>
      <c r="I15" s="96">
        <f t="shared" si="4"/>
        <v>39244.434377750018</v>
      </c>
      <c r="J15" s="96">
        <f t="shared" si="4"/>
        <v>42599.856842795089</v>
      </c>
      <c r="K15" s="96">
        <f t="shared" si="4"/>
        <v>46413.892998871437</v>
      </c>
      <c r="L15" s="96">
        <f t="shared" si="4"/>
        <v>50711.35887401519</v>
      </c>
      <c r="M15" s="96">
        <f t="shared" si="4"/>
        <v>55520.058887538871</v>
      </c>
      <c r="N15" s="96">
        <f t="shared" si="3"/>
        <v>60869.535661044894</v>
      </c>
    </row>
    <row r="16" spans="2:15" ht="13.8" thickTop="1" x14ac:dyDescent="0.25">
      <c r="B16" s="5"/>
      <c r="C16" s="93"/>
      <c r="D16" s="93"/>
      <c r="E16" s="93"/>
      <c r="F16" s="93"/>
      <c r="G16" s="93"/>
      <c r="H16" s="93"/>
      <c r="I16" s="93"/>
      <c r="J16" s="93"/>
      <c r="K16" s="93"/>
      <c r="L16" s="93"/>
      <c r="M16" s="93"/>
      <c r="N16" s="91"/>
    </row>
    <row r="17" spans="2:14" x14ac:dyDescent="0.25">
      <c r="B17" s="7" t="s">
        <v>24</v>
      </c>
      <c r="C17" s="97"/>
      <c r="D17" s="97"/>
      <c r="E17" s="97"/>
      <c r="F17" s="97"/>
      <c r="G17" s="97"/>
      <c r="H17" s="97"/>
      <c r="I17" s="97"/>
      <c r="J17" s="97"/>
      <c r="K17" s="97"/>
      <c r="L17" s="97"/>
      <c r="M17" s="97"/>
      <c r="N17" s="97"/>
    </row>
    <row r="18" spans="2:14" x14ac:dyDescent="0.25">
      <c r="B18" s="5" t="s">
        <v>25</v>
      </c>
      <c r="C18" s="98">
        <f>Balance!C17</f>
        <v>1006</v>
      </c>
      <c r="D18" s="98">
        <f>Balance!D17</f>
        <v>391.63726528433324</v>
      </c>
      <c r="E18" s="98">
        <f>Balance!E17</f>
        <v>402.08092569191547</v>
      </c>
      <c r="F18" s="98">
        <f>Balance!F17</f>
        <v>415.93037979908144</v>
      </c>
      <c r="G18" s="98">
        <f>Balance!G17</f>
        <v>433.13243871669783</v>
      </c>
      <c r="H18" s="98">
        <f>Balance!H17</f>
        <v>453.12545183441637</v>
      </c>
      <c r="I18" s="98">
        <f>Balance!I17</f>
        <v>475.20159124591942</v>
      </c>
      <c r="J18" s="98">
        <f>Balance!J17</f>
        <v>498.8264714528845</v>
      </c>
      <c r="K18" s="98">
        <f>Balance!K17</f>
        <v>523.7677950255287</v>
      </c>
      <c r="L18" s="98">
        <f>Balance!L17</f>
        <v>549.95618477680512</v>
      </c>
      <c r="M18" s="98">
        <f>Balance!M17</f>
        <v>577.45399401564532</v>
      </c>
      <c r="N18" s="98">
        <f>Balance!N17</f>
        <v>606.32669371642771</v>
      </c>
    </row>
    <row r="19" spans="2:14" x14ac:dyDescent="0.25">
      <c r="B19" s="5" t="s">
        <v>308</v>
      </c>
      <c r="C19" s="98">
        <f>Balance!C19+Balance!C24</f>
        <v>3100</v>
      </c>
      <c r="D19" s="98">
        <f>Balance!D19+Balance!D24</f>
        <v>3734.9027441495964</v>
      </c>
      <c r="E19" s="98">
        <f>Balance!E19+Balance!E24</f>
        <v>3834.5001506602516</v>
      </c>
      <c r="F19" s="98">
        <f>Balance!F19+Balance!F24</f>
        <v>3966.5773780718828</v>
      </c>
      <c r="G19" s="98">
        <f>Balance!G19+Balance!G24</f>
        <v>4130.627183214362</v>
      </c>
      <c r="H19" s="98">
        <f>Balance!H19+Balance!H24</f>
        <v>4321.2933076521713</v>
      </c>
      <c r="I19" s="98">
        <f>Balance!I19+Balance!I24</f>
        <v>4531.8254530249833</v>
      </c>
      <c r="J19" s="98">
        <f>Balance!J19+Balance!J24</f>
        <v>4757.1273783949773</v>
      </c>
      <c r="K19" s="98">
        <f>Balance!K19+Balance!K24</f>
        <v>4994.9837473147254</v>
      </c>
      <c r="L19" s="98">
        <f>Balance!L19+Balance!L24</f>
        <v>5244.7329346804618</v>
      </c>
      <c r="M19" s="98">
        <f>Balance!M19+Balance!M24</f>
        <v>5506.9695814144843</v>
      </c>
      <c r="N19" s="98">
        <f>Balance!N19+Balance!N24</f>
        <v>5782.3180604852096</v>
      </c>
    </row>
    <row r="20" spans="2:14" x14ac:dyDescent="0.25">
      <c r="B20" s="8" t="s">
        <v>26</v>
      </c>
      <c r="C20" s="95">
        <f>Balance!C23</f>
        <v>7903</v>
      </c>
      <c r="D20" s="95">
        <f>Balance!D23</f>
        <v>8659.9906008605922</v>
      </c>
      <c r="E20" s="95">
        <f>Balance!E23</f>
        <v>9489.4897136522595</v>
      </c>
      <c r="F20" s="95">
        <f>Balance!F23</f>
        <v>10398.442582208256</v>
      </c>
      <c r="G20" s="95">
        <f>Balance!G23</f>
        <v>11394.459702076685</v>
      </c>
      <c r="H20" s="95">
        <f>Balance!H23</f>
        <v>12485.880541802971</v>
      </c>
      <c r="I20" s="95">
        <f>Balance!I23</f>
        <v>13681.843367769441</v>
      </c>
      <c r="J20" s="95">
        <f>Balance!J23</f>
        <v>14992.361757222598</v>
      </c>
      <c r="K20" s="95">
        <f>Balance!K23</f>
        <v>16428.408440117611</v>
      </c>
      <c r="L20" s="95">
        <f>Balance!L23</f>
        <v>18002.007171772409</v>
      </c>
      <c r="M20" s="95">
        <f>Balance!M23</f>
        <v>19726.333405564223</v>
      </c>
      <c r="N20" s="95">
        <f>Balance!N23</f>
        <v>21615.824608582625</v>
      </c>
    </row>
    <row r="21" spans="2:14" x14ac:dyDescent="0.25">
      <c r="B21" s="5" t="s">
        <v>27</v>
      </c>
      <c r="C21" s="93">
        <f>SUM(C18:C20)</f>
        <v>12009</v>
      </c>
      <c r="D21" s="93">
        <f>SUM(D18:D20)</f>
        <v>12786.530610294521</v>
      </c>
      <c r="E21" s="93">
        <f t="shared" ref="E21:M21" si="5">SUM(E18:E20)</f>
        <v>13726.070790004425</v>
      </c>
      <c r="F21" s="93">
        <f t="shared" si="5"/>
        <v>14780.95034007922</v>
      </c>
      <c r="G21" s="93">
        <f t="shared" si="5"/>
        <v>15958.219324007745</v>
      </c>
      <c r="H21" s="93">
        <f t="shared" si="5"/>
        <v>17260.29930128956</v>
      </c>
      <c r="I21" s="93">
        <f t="shared" si="5"/>
        <v>18688.870412040342</v>
      </c>
      <c r="J21" s="93">
        <f t="shared" si="5"/>
        <v>20248.315607070457</v>
      </c>
      <c r="K21" s="93">
        <f t="shared" si="5"/>
        <v>21947.159982457866</v>
      </c>
      <c r="L21" s="93">
        <f t="shared" si="5"/>
        <v>23796.696291229677</v>
      </c>
      <c r="M21" s="93">
        <f t="shared" si="5"/>
        <v>25810.756980994352</v>
      </c>
      <c r="N21" s="93">
        <f>SUM(N18:N20)</f>
        <v>28004.469362784264</v>
      </c>
    </row>
    <row r="22" spans="2:14" x14ac:dyDescent="0.25">
      <c r="B22" s="5" t="s">
        <v>28</v>
      </c>
      <c r="C22" s="93">
        <f>Balance!C26</f>
        <v>15223</v>
      </c>
      <c r="D22" s="93">
        <f>Balance!D26</f>
        <v>15626.03822137928</v>
      </c>
      <c r="E22" s="93">
        <f>Balance!E26</f>
        <v>16180.984041922551</v>
      </c>
      <c r="F22" s="93">
        <f>Balance!F26</f>
        <v>16909.166389599242</v>
      </c>
      <c r="G22" s="93">
        <f>Balance!G26</f>
        <v>17857.404252264678</v>
      </c>
      <c r="H22" s="93">
        <f>Balance!H26</f>
        <v>19063.804261618418</v>
      </c>
      <c r="I22" s="93">
        <f>Balance!I26</f>
        <v>20555.563965709669</v>
      </c>
      <c r="J22" s="93">
        <f>Balance!J26</f>
        <v>22351.541235724639</v>
      </c>
      <c r="K22" s="93">
        <f>Balance!K26</f>
        <v>24466.733016413553</v>
      </c>
      <c r="L22" s="93">
        <f>Balance!L26</f>
        <v>26914.662582785517</v>
      </c>
      <c r="M22" s="93">
        <f>Balance!M26</f>
        <v>29709.301906544519</v>
      </c>
      <c r="N22" s="93">
        <f>Balance!N26</f>
        <v>32865.066298260623</v>
      </c>
    </row>
    <row r="23" spans="2:14" ht="13.8" thickBot="1" x14ac:dyDescent="0.3">
      <c r="B23" s="10" t="s">
        <v>40</v>
      </c>
      <c r="C23" s="96">
        <f>SUM(C21:C22)</f>
        <v>27232</v>
      </c>
      <c r="D23" s="96">
        <f t="shared" ref="D23:N23" si="6">SUM(D21:D22)</f>
        <v>28412.568831673801</v>
      </c>
      <c r="E23" s="96">
        <f t="shared" ref="E23:M23" si="7">SUM(E21:E22)</f>
        <v>29907.054831926976</v>
      </c>
      <c r="F23" s="96">
        <f t="shared" si="7"/>
        <v>31690.116729678462</v>
      </c>
      <c r="G23" s="96">
        <f t="shared" si="7"/>
        <v>33815.623576272425</v>
      </c>
      <c r="H23" s="96">
        <f t="shared" si="7"/>
        <v>36324.103562907978</v>
      </c>
      <c r="I23" s="96">
        <f t="shared" si="7"/>
        <v>39244.434377750011</v>
      </c>
      <c r="J23" s="96">
        <f t="shared" si="7"/>
        <v>42599.856842795096</v>
      </c>
      <c r="K23" s="96">
        <f t="shared" si="7"/>
        <v>46413.892998871423</v>
      </c>
      <c r="L23" s="96">
        <f t="shared" si="7"/>
        <v>50711.35887401519</v>
      </c>
      <c r="M23" s="96">
        <f t="shared" si="7"/>
        <v>55520.058887538871</v>
      </c>
      <c r="N23" s="96">
        <f t="shared" si="6"/>
        <v>60869.535661044887</v>
      </c>
    </row>
    <row r="24" spans="2:14" ht="13.8" thickTop="1" x14ac:dyDescent="0.25"/>
    <row r="25" spans="2:14" x14ac:dyDescent="0.25">
      <c r="B25" s="13" t="s">
        <v>15</v>
      </c>
      <c r="C25" s="99">
        <f>C15-C23</f>
        <v>0</v>
      </c>
      <c r="D25" s="99">
        <f t="shared" ref="D25:N25" si="8">D15-D23</f>
        <v>0</v>
      </c>
      <c r="E25" s="99">
        <f>E15-E23</f>
        <v>0</v>
      </c>
      <c r="F25" s="99">
        <f t="shared" ref="F25:M25" si="9">F15-F23</f>
        <v>0</v>
      </c>
      <c r="G25" s="99">
        <f t="shared" si="9"/>
        <v>0</v>
      </c>
      <c r="H25" s="99">
        <f t="shared" si="9"/>
        <v>0</v>
      </c>
      <c r="I25" s="99">
        <f t="shared" si="9"/>
        <v>0</v>
      </c>
      <c r="J25" s="99">
        <f t="shared" si="9"/>
        <v>0</v>
      </c>
      <c r="K25" s="99">
        <f t="shared" si="9"/>
        <v>0</v>
      </c>
      <c r="L25" s="99">
        <f t="shared" si="9"/>
        <v>0</v>
      </c>
      <c r="M25" s="99">
        <f t="shared" si="9"/>
        <v>0</v>
      </c>
      <c r="N25" s="99">
        <f t="shared" si="8"/>
        <v>0</v>
      </c>
    </row>
    <row r="26" spans="2:14" x14ac:dyDescent="0.25">
      <c r="D26" s="18"/>
    </row>
    <row r="27" spans="2:14" x14ac:dyDescent="0.25">
      <c r="D27" s="78"/>
    </row>
    <row r="28" spans="2:14" x14ac:dyDescent="0.25">
      <c r="D28" s="78"/>
    </row>
    <row r="29" spans="2:14" x14ac:dyDescent="0.25">
      <c r="D29" s="78"/>
    </row>
    <row r="30" spans="2:14" x14ac:dyDescent="0.25">
      <c r="D30" s="78"/>
    </row>
    <row r="31" spans="2:14" x14ac:dyDescent="0.25">
      <c r="D31" s="78"/>
    </row>
    <row r="32" spans="2:14" x14ac:dyDescent="0.25">
      <c r="D32" s="78"/>
    </row>
    <row r="33" spans="4:4" x14ac:dyDescent="0.25">
      <c r="D33" s="78"/>
    </row>
    <row r="34" spans="4:4" x14ac:dyDescent="0.25">
      <c r="D34" s="78"/>
    </row>
    <row r="35" spans="4:4" x14ac:dyDescent="0.25">
      <c r="D35" s="78"/>
    </row>
    <row r="36" spans="4:4" x14ac:dyDescent="0.25">
      <c r="D36" s="78"/>
    </row>
    <row r="37" spans="4:4" x14ac:dyDescent="0.25">
      <c r="D37" s="78"/>
    </row>
    <row r="38" spans="4:4" x14ac:dyDescent="0.25">
      <c r="D38" s="78"/>
    </row>
    <row r="39" spans="4:4" x14ac:dyDescent="0.25">
      <c r="D39" s="78"/>
    </row>
    <row r="40" spans="4:4" x14ac:dyDescent="0.25">
      <c r="D40" s="78"/>
    </row>
    <row r="41" spans="4:4" x14ac:dyDescent="0.25">
      <c r="D41" s="78"/>
    </row>
    <row r="42" spans="4:4" x14ac:dyDescent="0.25">
      <c r="D42" s="78"/>
    </row>
    <row r="43" spans="4:4" x14ac:dyDescent="0.25">
      <c r="D43" s="78"/>
    </row>
    <row r="44" spans="4:4" x14ac:dyDescent="0.25">
      <c r="D44" s="78"/>
    </row>
    <row r="45" spans="4:4" x14ac:dyDescent="0.25">
      <c r="D45" s="78"/>
    </row>
    <row r="46" spans="4:4" x14ac:dyDescent="0.25">
      <c r="D46" s="78"/>
    </row>
    <row r="47" spans="4:4" x14ac:dyDescent="0.25">
      <c r="D47" s="78"/>
    </row>
    <row r="48" spans="4:4" x14ac:dyDescent="0.25">
      <c r="D48" s="78"/>
    </row>
    <row r="49" spans="4:4" x14ac:dyDescent="0.25">
      <c r="D49" s="78"/>
    </row>
    <row r="50" spans="4:4" x14ac:dyDescent="0.25">
      <c r="D50" s="78"/>
    </row>
    <row r="51" spans="4:4" x14ac:dyDescent="0.25">
      <c r="D51" s="78"/>
    </row>
    <row r="52" spans="4:4" x14ac:dyDescent="0.25">
      <c r="D52" s="78"/>
    </row>
    <row r="53" spans="4:4" x14ac:dyDescent="0.25">
      <c r="D53" s="78"/>
    </row>
    <row r="54" spans="4:4" x14ac:dyDescent="0.25">
      <c r="D54" s="78"/>
    </row>
    <row r="55" spans="4:4" x14ac:dyDescent="0.25">
      <c r="D55" s="78"/>
    </row>
    <row r="56" spans="4:4" x14ac:dyDescent="0.25">
      <c r="D56" s="78"/>
    </row>
  </sheetData>
  <sheetProtection sheet="1" objects="1" scenarios="1"/>
  <conditionalFormatting sqref="B2:N4 B5:O6 O7 B7:N23">
    <cfRule type="expression" dxfId="26" priority="1">
      <formula>_xlfn.ISFORMULA(B2)</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9D342-118F-4534-A4B3-C0B86C7E50DF}">
  <sheetPr>
    <tabColor theme="7" tint="-0.249977111117893"/>
  </sheetPr>
  <dimension ref="B2:N31"/>
  <sheetViews>
    <sheetView showGridLines="0" workbookViewId="0">
      <selection activeCell="H21" sqref="H21"/>
    </sheetView>
  </sheetViews>
  <sheetFormatPr defaultColWidth="9.33203125" defaultRowHeight="13.2" x14ac:dyDescent="0.25"/>
  <cols>
    <col min="1" max="1" width="9.33203125" style="13"/>
    <col min="2" max="2" width="40.5546875" style="13" bestFit="1" customWidth="1"/>
    <col min="3" max="3" width="13.88671875" style="13" hidden="1" customWidth="1"/>
    <col min="4" max="14" width="13.6640625" style="13" customWidth="1"/>
    <col min="15" max="16384" width="9.33203125" style="13"/>
  </cols>
  <sheetData>
    <row r="2" spans="2:14" x14ac:dyDescent="0.25">
      <c r="B2" s="14" t="s">
        <v>42</v>
      </c>
      <c r="C2" s="15">
        <v>2024</v>
      </c>
      <c r="D2" s="15">
        <v>2025</v>
      </c>
      <c r="E2" s="15">
        <v>2026</v>
      </c>
      <c r="F2" s="15">
        <v>2027</v>
      </c>
      <c r="G2" s="15">
        <v>2028</v>
      </c>
      <c r="H2" s="15">
        <v>2029</v>
      </c>
      <c r="I2" s="15">
        <v>2030</v>
      </c>
      <c r="J2" s="15">
        <v>2031</v>
      </c>
      <c r="K2" s="15">
        <v>2032</v>
      </c>
      <c r="L2" s="15">
        <v>2033</v>
      </c>
      <c r="M2" s="15">
        <v>2034</v>
      </c>
      <c r="N2" s="15">
        <v>2035</v>
      </c>
    </row>
    <row r="3" spans="2:14" x14ac:dyDescent="0.25">
      <c r="B3" s="31" t="s">
        <v>16</v>
      </c>
      <c r="C3" s="31"/>
      <c r="D3" s="285">
        <f>NOPAT!D12</f>
        <v>5985.7779039393963</v>
      </c>
      <c r="E3" s="285">
        <f>NOPAT!E12</f>
        <v>6169.1997842621449</v>
      </c>
      <c r="F3" s="285">
        <f>NOPAT!F12</f>
        <v>6380.517041583299</v>
      </c>
      <c r="G3" s="285">
        <f>NOPAT!G12</f>
        <v>6643.3281346670165</v>
      </c>
      <c r="H3" s="285">
        <f>NOPAT!H12</f>
        <v>6949.2064551853873</v>
      </c>
      <c r="I3" s="285">
        <f>NOPAT!I12</f>
        <v>7287.3410683016191</v>
      </c>
      <c r="J3" s="285">
        <f>NOPAT!J12</f>
        <v>7649.460395317964</v>
      </c>
      <c r="K3" s="285">
        <f>NOPAT!K12</f>
        <v>8031.881156237464</v>
      </c>
      <c r="L3" s="285">
        <f>NOPAT!L12</f>
        <v>8433.4752140493401</v>
      </c>
      <c r="M3" s="285">
        <f>NOPAT!M12</f>
        <v>8855.1489747518081</v>
      </c>
      <c r="N3" s="285">
        <f>NOPAT!N12</f>
        <v>9297.9064234893976</v>
      </c>
    </row>
    <row r="4" spans="2:14" x14ac:dyDescent="0.25">
      <c r="B4" s="5" t="s">
        <v>1</v>
      </c>
      <c r="C4" s="5"/>
      <c r="D4" s="196">
        <f>-NOPAT!D6</f>
        <v>754.48181824325025</v>
      </c>
      <c r="E4" s="196">
        <f>-NOPAT!E6</f>
        <v>772.96714589760381</v>
      </c>
      <c r="F4" s="196">
        <f>-NOPAT!F6</f>
        <v>799.59156981185458</v>
      </c>
      <c r="G4" s="196">
        <f>-NOPAT!G6</f>
        <v>832.66109769913521</v>
      </c>
      <c r="H4" s="196">
        <f>-NOPAT!H6</f>
        <v>871.0960029632995</v>
      </c>
      <c r="I4" s="196">
        <f>-NOPAT!I6</f>
        <v>913.53554531160296</v>
      </c>
      <c r="J4" s="196">
        <f>-NOPAT!J6</f>
        <v>958.95241305862669</v>
      </c>
      <c r="K4" s="196">
        <f>-NOPAT!K6</f>
        <v>1006.900033711558</v>
      </c>
      <c r="L4" s="196">
        <f>-NOPAT!L6</f>
        <v>1057.2450353971358</v>
      </c>
      <c r="M4" s="196">
        <f>-NOPAT!M6</f>
        <v>1110.1072871669926</v>
      </c>
      <c r="N4" s="196">
        <f>-NOPAT!N6</f>
        <v>1165.6126515253422</v>
      </c>
    </row>
    <row r="5" spans="2:14" x14ac:dyDescent="0.25">
      <c r="B5" s="27" t="s">
        <v>43</v>
      </c>
      <c r="C5" s="27"/>
      <c r="D5" s="327">
        <f>SUM(D3:D4)</f>
        <v>6740.2597221826463</v>
      </c>
      <c r="E5" s="327">
        <f>SUM(E3:E4)</f>
        <v>6942.1669301597485</v>
      </c>
      <c r="F5" s="327">
        <f t="shared" ref="F5:L5" si="0">SUM(F3:F4)</f>
        <v>7180.1086113951533</v>
      </c>
      <c r="G5" s="327">
        <f t="shared" si="0"/>
        <v>7475.9892323661516</v>
      </c>
      <c r="H5" s="327">
        <f t="shared" si="0"/>
        <v>7820.302458148687</v>
      </c>
      <c r="I5" s="327">
        <f t="shared" si="0"/>
        <v>8200.8766136132217</v>
      </c>
      <c r="J5" s="327">
        <f t="shared" si="0"/>
        <v>8608.41280837659</v>
      </c>
      <c r="K5" s="327">
        <f t="shared" si="0"/>
        <v>9038.7811899490225</v>
      </c>
      <c r="L5" s="327">
        <f t="shared" si="0"/>
        <v>9490.7202494464764</v>
      </c>
      <c r="M5" s="327">
        <f>SUM(M3:M4)</f>
        <v>9965.2562619188011</v>
      </c>
      <c r="N5" s="327">
        <f>SUM(N3:N4)</f>
        <v>10463.519075014739</v>
      </c>
    </row>
    <row r="6" spans="2:14" x14ac:dyDescent="0.25">
      <c r="B6" s="5"/>
      <c r="C6" s="5"/>
      <c r="D6" s="196"/>
      <c r="E6" s="196"/>
      <c r="F6" s="196"/>
      <c r="G6" s="196"/>
      <c r="H6" s="196"/>
      <c r="I6" s="196"/>
      <c r="J6" s="196"/>
      <c r="K6" s="196"/>
      <c r="L6" s="196"/>
      <c r="M6" s="196"/>
      <c r="N6" s="196"/>
    </row>
    <row r="7" spans="2:14" x14ac:dyDescent="0.25">
      <c r="B7" s="6" t="s">
        <v>44</v>
      </c>
      <c r="C7" s="6"/>
      <c r="D7" s="196">
        <f>Investment!C3-Investment!D3</f>
        <v>-694.37598628730666</v>
      </c>
      <c r="E7" s="196">
        <f>Investment!D3-Investment!E3</f>
        <v>-172.49642630099061</v>
      </c>
      <c r="F7" s="196">
        <f>Investment!E3-Investment!F3</f>
        <v>-228.7494275447043</v>
      </c>
      <c r="G7" s="196">
        <f>Investment!F3-Investment!G3</f>
        <v>-284.12391561044933</v>
      </c>
      <c r="H7" s="196">
        <f>Investment!G3-Investment!H3</f>
        <v>-330.22170189405369</v>
      </c>
      <c r="I7" s="196">
        <f>Investment!H3-Investment!I3</f>
        <v>-364.62839717021961</v>
      </c>
      <c r="J7" s="196">
        <f>Investment!I3-Investment!J3</f>
        <v>-390.20872457055066</v>
      </c>
      <c r="K7" s="196">
        <f>Investment!J3-Investment!K3</f>
        <v>-411.95222896890118</v>
      </c>
      <c r="L7" s="196">
        <f>Investment!K3-Investment!L3</f>
        <v>-432.5498404173668</v>
      </c>
      <c r="M7" s="196">
        <f>Investment!L3-Investment!M3</f>
        <v>-454.17733243823386</v>
      </c>
      <c r="N7" s="196">
        <f>Investment!M3-Investment!N3</f>
        <v>-476.88619906012718</v>
      </c>
    </row>
    <row r="8" spans="2:14" x14ac:dyDescent="0.25">
      <c r="B8" s="5" t="s">
        <v>273</v>
      </c>
      <c r="C8" s="5"/>
      <c r="D8" s="196">
        <f>-(Investment!D4-Investment!C4+D4)</f>
        <v>-876.98528490991634</v>
      </c>
      <c r="E8" s="196">
        <f>-(Investment!E4-Investment!D4+E4)</f>
        <v>-949.40893197167793</v>
      </c>
      <c r="F8" s="196">
        <f>-(Investment!F4-Investment!E4+F4)</f>
        <v>-1018.7454784128616</v>
      </c>
      <c r="G8" s="196">
        <f>-(Investment!G4-Investment!F4+G4)</f>
        <v>-1087.3717105649084</v>
      </c>
      <c r="H8" s="196">
        <f>-(Investment!H4-Investment!G4+H4)</f>
        <v>-1152.3456058173522</v>
      </c>
      <c r="I8" s="196">
        <f>-(Investment!I4-Investment!H4+I4)</f>
        <v>-1214.5160769085946</v>
      </c>
      <c r="J8" s="196">
        <f>-(Investment!J4-Investment!I4+J4)</f>
        <v>-1276.7044084915549</v>
      </c>
      <c r="K8" s="196">
        <f>-(Investment!K4-Investment!J4+K4)</f>
        <v>-1340.5396289161322</v>
      </c>
      <c r="L8" s="196">
        <f>-(Investment!L4-Investment!K4+L4)</f>
        <v>-1407.5666103619392</v>
      </c>
      <c r="M8" s="196">
        <f>-(Investment!M4-Investment!L4+M4)</f>
        <v>-1477.9449408800369</v>
      </c>
      <c r="N8" s="196">
        <f>-(Investment!N4-Investment!M4+N4)</f>
        <v>-1551.8421879240391</v>
      </c>
    </row>
    <row r="9" spans="2:14" x14ac:dyDescent="0.25">
      <c r="B9" s="5" t="s">
        <v>294</v>
      </c>
      <c r="C9" s="5"/>
      <c r="D9" s="196">
        <f>Investment!C5-Investment!D5</f>
        <v>-690.73148928261435</v>
      </c>
      <c r="E9" s="196">
        <f>Investment!D5-Investment!E5</f>
        <v>-90.899506380869752</v>
      </c>
      <c r="F9" s="196">
        <f>Investment!E5-Investment!F5</f>
        <v>-120.54284540618664</v>
      </c>
      <c r="G9" s="196">
        <f>Investment!F5-Investment!G5</f>
        <v>-149.72323910596833</v>
      </c>
      <c r="H9" s="196">
        <f>Investment!G5-Investment!H5</f>
        <v>-174.01513957189263</v>
      </c>
      <c r="I9" s="196">
        <f>Investment!H5-Investment!I5</f>
        <v>-192.14624920626466</v>
      </c>
      <c r="J9" s="196">
        <f>Investment!I5-Investment!J5</f>
        <v>-205.62617562336618</v>
      </c>
      <c r="K9" s="196">
        <f>Investment!J5-Investment!K5</f>
        <v>-217.08423222885813</v>
      </c>
      <c r="L9" s="196">
        <f>Investment!K5-Investment!L5</f>
        <v>-227.93844384030126</v>
      </c>
      <c r="M9" s="196">
        <f>Investment!L5-Investment!M5</f>
        <v>-239.33536603231551</v>
      </c>
      <c r="N9" s="196">
        <f>Investment!M5-Investment!N5</f>
        <v>-251.30213433393328</v>
      </c>
    </row>
    <row r="10" spans="2:14" x14ac:dyDescent="0.25">
      <c r="B10" s="5" t="s">
        <v>330</v>
      </c>
      <c r="C10" s="5"/>
      <c r="D10" s="196">
        <f>Investment!C6-Investment!D6+(Investment!C7-Investment!D7)</f>
        <v>1096.1917084189904</v>
      </c>
      <c r="E10" s="196">
        <f>Investment!D6-Investment!E6+(Investment!D7-Investment!E7)</f>
        <v>-21.248221108826783</v>
      </c>
      <c r="F10" s="196">
        <f>Investment!E6-Investment!F6+(Investment!E7-Investment!F7)</f>
        <v>-28.177502103761526</v>
      </c>
      <c r="G10" s="196">
        <f>Investment!F6-Investment!G6+(Investment!F7-Investment!G7)</f>
        <v>-34.998567278501014</v>
      </c>
      <c r="H10" s="196">
        <f>Investment!G6-Investment!H6+(Investment!G7-Investment!H7)</f>
        <v>-40.676922341187492</v>
      </c>
      <c r="I10" s="196">
        <f>Investment!H6-Investment!I6+(Investment!H7-Investment!I7)</f>
        <v>-44.915161268968859</v>
      </c>
      <c r="J10" s="196">
        <f>Investment!I6-Investment!J6+(Investment!I7-Investment!J7)</f>
        <v>-48.06616250588695</v>
      </c>
      <c r="K10" s="196">
        <f>Investment!J6-Investment!K6+(Investment!J7-Investment!K7)</f>
        <v>-50.744541409407248</v>
      </c>
      <c r="L10" s="196">
        <f>Investment!K6-Investment!L6+(Investment!K7-Investment!L7)</f>
        <v>-53.281768479877428</v>
      </c>
      <c r="M10" s="196">
        <f>Investment!L6-Investment!M6+(Investment!L7-Investment!M7)</f>
        <v>-55.945856903871572</v>
      </c>
      <c r="N10" s="196">
        <f>Investment!M6-Investment!N6+(Investment!M7-Investment!N7)</f>
        <v>-58.743149749064287</v>
      </c>
    </row>
    <row r="11" spans="2:14" ht="13.8" thickBot="1" x14ac:dyDescent="0.3">
      <c r="B11" s="10" t="s">
        <v>45</v>
      </c>
      <c r="C11" s="10"/>
      <c r="D11" s="286">
        <f>SUM(D5:D10)</f>
        <v>5574.3586701217992</v>
      </c>
      <c r="E11" s="286">
        <f t="shared" ref="E11:N11" si="1">SUM(E5:E10)</f>
        <v>5708.1138443973832</v>
      </c>
      <c r="F11" s="286">
        <f t="shared" si="1"/>
        <v>5783.89335792764</v>
      </c>
      <c r="G11" s="286">
        <f t="shared" si="1"/>
        <v>5919.7717998063254</v>
      </c>
      <c r="H11" s="286">
        <f t="shared" si="1"/>
        <v>6123.0430885242013</v>
      </c>
      <c r="I11" s="286">
        <f t="shared" si="1"/>
        <v>6384.6707290591748</v>
      </c>
      <c r="J11" s="286">
        <f t="shared" si="1"/>
        <v>6687.8073371852297</v>
      </c>
      <c r="K11" s="286">
        <f t="shared" si="1"/>
        <v>7018.4605584257233</v>
      </c>
      <c r="L11" s="286">
        <f t="shared" si="1"/>
        <v>7369.3835863469922</v>
      </c>
      <c r="M11" s="286">
        <f t="shared" si="1"/>
        <v>7737.8527656643428</v>
      </c>
      <c r="N11" s="286">
        <f t="shared" si="1"/>
        <v>8124.7454039475751</v>
      </c>
    </row>
    <row r="12" spans="2:14" ht="13.8" thickTop="1" x14ac:dyDescent="0.25">
      <c r="B12" s="5"/>
      <c r="C12" s="5"/>
      <c r="D12" s="196"/>
      <c r="E12" s="196"/>
      <c r="F12" s="196"/>
      <c r="G12" s="196"/>
      <c r="H12" s="196"/>
      <c r="I12" s="196"/>
      <c r="J12" s="196"/>
      <c r="K12" s="196"/>
      <c r="L12" s="196"/>
      <c r="M12" s="196"/>
      <c r="N12" s="196"/>
    </row>
    <row r="13" spans="2:14" x14ac:dyDescent="0.25">
      <c r="B13" s="100" t="s">
        <v>46</v>
      </c>
      <c r="C13" s="100"/>
      <c r="D13" s="287"/>
      <c r="E13" s="287"/>
      <c r="F13" s="287"/>
      <c r="G13" s="287"/>
      <c r="H13" s="287"/>
      <c r="I13" s="287"/>
      <c r="J13" s="287"/>
      <c r="K13" s="287"/>
      <c r="L13" s="287"/>
      <c r="M13" s="287"/>
      <c r="N13" s="287"/>
    </row>
    <row r="14" spans="2:14" x14ac:dyDescent="0.25">
      <c r="B14" s="5" t="s">
        <v>3</v>
      </c>
      <c r="C14" s="5"/>
      <c r="D14" s="277">
        <f>NOPAT!D16</f>
        <v>560.82029999999997</v>
      </c>
      <c r="E14" s="277">
        <f>NOPAT!E16</f>
        <v>597.13097950075417</v>
      </c>
      <c r="F14" s="277">
        <f>NOPAT!F16</f>
        <v>641.00750589320671</v>
      </c>
      <c r="G14" s="277">
        <f>NOPAT!G16</f>
        <v>690.27038088169957</v>
      </c>
      <c r="H14" s="277">
        <f>NOPAT!H16</f>
        <v>745.24884243116162</v>
      </c>
      <c r="I14" s="277">
        <f>NOPAT!I16</f>
        <v>806.05597737022231</v>
      </c>
      <c r="J14" s="277">
        <f>NOPAT!J16</f>
        <v>872.77024824228408</v>
      </c>
      <c r="K14" s="277">
        <f>NOPAT!K16</f>
        <v>945.59633885019036</v>
      </c>
      <c r="L14" s="277">
        <f>NOPAT!L16</f>
        <v>1024.9323711807822</v>
      </c>
      <c r="M14" s="277">
        <f>NOPAT!M16</f>
        <v>1111.3057168004259</v>
      </c>
      <c r="N14" s="277">
        <f>NOPAT!N16</f>
        <v>1205.3623510124362</v>
      </c>
    </row>
    <row r="15" spans="2:14" x14ac:dyDescent="0.25">
      <c r="B15" s="5" t="s">
        <v>29</v>
      </c>
      <c r="C15" s="5"/>
      <c r="D15" s="277">
        <f>NOPAT!D17</f>
        <v>-74.080617439883113</v>
      </c>
      <c r="E15" s="277">
        <f>NOPAT!E17</f>
        <v>-78.877015781878896</v>
      </c>
      <c r="F15" s="277">
        <f>NOPAT!F17</f>
        <v>-84.672811986599385</v>
      </c>
      <c r="G15" s="277">
        <f>NOPAT!G17</f>
        <v>-91.180108880116492</v>
      </c>
      <c r="H15" s="277">
        <f>NOPAT!H17</f>
        <v>-98.442396599514339</v>
      </c>
      <c r="I15" s="277">
        <f>NOPAT!I17</f>
        <v>-106.47461315985623</v>
      </c>
      <c r="J15" s="277">
        <f>NOPAT!J17</f>
        <v>-115.28712293928815</v>
      </c>
      <c r="K15" s="277">
        <f>NOPAT!K17</f>
        <v>-124.90696330164053</v>
      </c>
      <c r="L15" s="277">
        <f>NOPAT!L17</f>
        <v>-135.38672350340352</v>
      </c>
      <c r="M15" s="277">
        <f>NOPAT!M17</f>
        <v>-146.79606580761686</v>
      </c>
      <c r="N15" s="277">
        <f>NOPAT!N17</f>
        <v>-159.22031923914022</v>
      </c>
    </row>
    <row r="16" spans="2:14" x14ac:dyDescent="0.25">
      <c r="B16" s="5" t="s">
        <v>288</v>
      </c>
      <c r="C16" s="5"/>
      <c r="D16" s="277">
        <f>Balance!D4-Balance!C4</f>
        <v>769.14959785620704</v>
      </c>
      <c r="E16" s="277">
        <f>Balance!E4-Balance!D4</f>
        <v>1033.4000603884087</v>
      </c>
      <c r="F16" s="277">
        <f>Balance!F4-Balance!E4</f>
        <v>1186.4382140958242</v>
      </c>
      <c r="G16" s="277">
        <f>Balance!G4-Balance!F4</f>
        <v>1401.9505117332756</v>
      </c>
      <c r="H16" s="277">
        <f>Balance!H4-Balance!G4</f>
        <v>1682.3166199743646</v>
      </c>
      <c r="I16" s="277">
        <f>Balance!I4-Balance!H4</f>
        <v>2017.6604755995941</v>
      </c>
      <c r="J16" s="277">
        <f>Balance!J4-Balance!I4</f>
        <v>2393.769406912339</v>
      </c>
      <c r="K16" s="277">
        <f>Balance!K4-Balance!J4</f>
        <v>2800.6155582646061</v>
      </c>
      <c r="L16" s="277">
        <f>Balance!L4-Balance!K4</f>
        <v>3233.3742474414103</v>
      </c>
      <c r="M16" s="277">
        <f>Balance!M4-Balance!L4</f>
        <v>3691.4038044362132</v>
      </c>
      <c r="N16" s="277">
        <f>Balance!N4-Balance!M4</f>
        <v>4176.3157539642052</v>
      </c>
    </row>
    <row r="17" spans="2:14" x14ac:dyDescent="0.25">
      <c r="B17" s="5" t="s">
        <v>47</v>
      </c>
      <c r="C17" s="5"/>
      <c r="D17" s="277">
        <f>Investment!C18-Investment!D18</f>
        <v>614.36273471566676</v>
      </c>
      <c r="E17" s="277">
        <f>Investment!D18-Investment!E18</f>
        <v>-10.443660407582229</v>
      </c>
      <c r="F17" s="277">
        <f>Investment!E18-Investment!F18</f>
        <v>-13.849454107165968</v>
      </c>
      <c r="G17" s="277">
        <f>Investment!F18-Investment!G18</f>
        <v>-17.202058917616398</v>
      </c>
      <c r="H17" s="277">
        <f>Investment!G18-Investment!H18</f>
        <v>-19.993013117718533</v>
      </c>
      <c r="I17" s="277">
        <f>Investment!H18-Investment!I18</f>
        <v>-22.07613941150305</v>
      </c>
      <c r="J17" s="277">
        <f>Investment!I18-Investment!J18</f>
        <v>-23.624880206965088</v>
      </c>
      <c r="K17" s="277">
        <f>Investment!J18-Investment!K18</f>
        <v>-24.941323572644194</v>
      </c>
      <c r="L17" s="277">
        <f>Investment!K18-Investment!L18</f>
        <v>-26.188389751276418</v>
      </c>
      <c r="M17" s="277">
        <f>Investment!L18-Investment!M18</f>
        <v>-27.497809238840205</v>
      </c>
      <c r="N17" s="277">
        <f>Investment!M18-Investment!N18</f>
        <v>-28.872699700782391</v>
      </c>
    </row>
    <row r="18" spans="2:14" x14ac:dyDescent="0.25">
      <c r="B18" s="5" t="s">
        <v>329</v>
      </c>
      <c r="C18" s="5"/>
      <c r="D18" s="277">
        <f>Investment!C19-Investment!D19</f>
        <v>-634.9027441495964</v>
      </c>
      <c r="E18" s="277">
        <f>Investment!D19-Investment!E19</f>
        <v>-99.597406510655219</v>
      </c>
      <c r="F18" s="277">
        <f>Investment!E19-Investment!F19</f>
        <v>-132.07722741163116</v>
      </c>
      <c r="G18" s="277">
        <f>Investment!F19-Investment!G19</f>
        <v>-164.04980514247927</v>
      </c>
      <c r="H18" s="277">
        <f>Investment!G19-Investment!H19</f>
        <v>-190.66612443780923</v>
      </c>
      <c r="I18" s="277">
        <f>Investment!H19-Investment!I19</f>
        <v>-210.53214537281201</v>
      </c>
      <c r="J18" s="277">
        <f>Investment!I19-Investment!J19</f>
        <v>-225.30192536999402</v>
      </c>
      <c r="K18" s="277">
        <f>Investment!J19-Investment!K19</f>
        <v>-237.85636891974809</v>
      </c>
      <c r="L18" s="277">
        <f>Investment!K19-Investment!L19</f>
        <v>-249.74918736573636</v>
      </c>
      <c r="M18" s="277">
        <f>Investment!L19-Investment!M19</f>
        <v>-262.23664673402254</v>
      </c>
      <c r="N18" s="277">
        <f>Investment!M19-Investment!N19</f>
        <v>-275.34847907072526</v>
      </c>
    </row>
    <row r="19" spans="2:14" x14ac:dyDescent="0.25">
      <c r="B19" s="5" t="s">
        <v>48</v>
      </c>
      <c r="C19" s="5"/>
      <c r="D19" s="328">
        <f>Investment!C20-Investment!D20</f>
        <v>-756.99060086059217</v>
      </c>
      <c r="E19" s="328">
        <f>Investment!D20-Investment!E20</f>
        <v>-829.49911279166736</v>
      </c>
      <c r="F19" s="328">
        <f>Investment!E20-Investment!F20</f>
        <v>-908.95286855599625</v>
      </c>
      <c r="G19" s="328">
        <f>Investment!F20-Investment!G20</f>
        <v>-996.01711986842929</v>
      </c>
      <c r="H19" s="328">
        <f>Investment!G20-Investment!H20</f>
        <v>-1091.4208397262864</v>
      </c>
      <c r="I19" s="328">
        <f>Investment!H20-Investment!I20</f>
        <v>-1195.9628259664696</v>
      </c>
      <c r="J19" s="328">
        <f>Investment!I20-Investment!J20</f>
        <v>-1310.5183894531565</v>
      </c>
      <c r="K19" s="328">
        <f>Investment!J20-Investment!K20</f>
        <v>-1436.0466828950139</v>
      </c>
      <c r="L19" s="328">
        <f>Investment!K20-Investment!L20</f>
        <v>-1573.598731654798</v>
      </c>
      <c r="M19" s="328">
        <f>Investment!L20-Investment!M20</f>
        <v>-1724.3262337918131</v>
      </c>
      <c r="N19" s="328">
        <f>Investment!M20-Investment!N20</f>
        <v>-1889.4912030184023</v>
      </c>
    </row>
    <row r="20" spans="2:14" x14ac:dyDescent="0.25">
      <c r="B20" s="27" t="s">
        <v>49</v>
      </c>
      <c r="C20" s="27"/>
      <c r="D20" s="327">
        <f t="shared" ref="D20:N20" si="2">SUM(D14:D19)</f>
        <v>478.35867012180188</v>
      </c>
      <c r="E20" s="327">
        <f t="shared" si="2"/>
        <v>612.11384439737913</v>
      </c>
      <c r="F20" s="327">
        <f t="shared" si="2"/>
        <v>687.89335792763814</v>
      </c>
      <c r="G20" s="327">
        <f t="shared" si="2"/>
        <v>823.77179980633377</v>
      </c>
      <c r="H20" s="327">
        <f t="shared" si="2"/>
        <v>1027.0430885241976</v>
      </c>
      <c r="I20" s="327">
        <f t="shared" si="2"/>
        <v>1288.6707290591753</v>
      </c>
      <c r="J20" s="327">
        <f t="shared" si="2"/>
        <v>1591.8073371852197</v>
      </c>
      <c r="K20" s="327">
        <f t="shared" si="2"/>
        <v>1922.4605584257497</v>
      </c>
      <c r="L20" s="327">
        <f t="shared" si="2"/>
        <v>2273.3835863469785</v>
      </c>
      <c r="M20" s="327">
        <f t="shared" si="2"/>
        <v>2641.8527656643464</v>
      </c>
      <c r="N20" s="327">
        <f t="shared" si="2"/>
        <v>3028.7454039475906</v>
      </c>
    </row>
    <row r="21" spans="2:14" x14ac:dyDescent="0.25">
      <c r="B21" s="5"/>
      <c r="C21" s="5"/>
      <c r="D21" s="283"/>
      <c r="E21" s="283"/>
      <c r="F21" s="283"/>
      <c r="G21" s="283"/>
      <c r="H21" s="283"/>
      <c r="I21" s="283"/>
      <c r="J21" s="283"/>
      <c r="K21" s="283"/>
      <c r="L21" s="283"/>
      <c r="M21" s="283"/>
      <c r="N21" s="283"/>
    </row>
    <row r="22" spans="2:14" x14ac:dyDescent="0.25">
      <c r="B22" s="6" t="s">
        <v>50</v>
      </c>
      <c r="C22" s="6"/>
      <c r="D22" s="196">
        <f>-'Income&amp;Equity'!D20</f>
        <v>2203</v>
      </c>
      <c r="E22" s="196">
        <f>-'Income&amp;Equity'!E20</f>
        <v>2203</v>
      </c>
      <c r="F22" s="196">
        <f>-'Income&amp;Equity'!F20</f>
        <v>2203</v>
      </c>
      <c r="G22" s="196">
        <f>-'Income&amp;Equity'!G20</f>
        <v>2203</v>
      </c>
      <c r="H22" s="196">
        <f>-'Income&amp;Equity'!H20</f>
        <v>2203</v>
      </c>
      <c r="I22" s="196">
        <f>-'Income&amp;Equity'!I20</f>
        <v>2203</v>
      </c>
      <c r="J22" s="196">
        <f>-'Income&amp;Equity'!J20</f>
        <v>2203</v>
      </c>
      <c r="K22" s="196">
        <f>-'Income&amp;Equity'!K20</f>
        <v>2203</v>
      </c>
      <c r="L22" s="196">
        <f>-'Income&amp;Equity'!L20</f>
        <v>2203</v>
      </c>
      <c r="M22" s="196">
        <f>-'Income&amp;Equity'!M20</f>
        <v>2203</v>
      </c>
      <c r="N22" s="196">
        <f>-'Income&amp;Equity'!N20</f>
        <v>2203</v>
      </c>
    </row>
    <row r="23" spans="2:14" x14ac:dyDescent="0.25">
      <c r="B23" s="5" t="s">
        <v>51</v>
      </c>
      <c r="C23" s="5"/>
      <c r="D23" s="284">
        <f>-'Income&amp;Equity'!D21</f>
        <v>2893</v>
      </c>
      <c r="E23" s="284">
        <f>-'Income&amp;Equity'!E21</f>
        <v>2893</v>
      </c>
      <c r="F23" s="284">
        <f>-'Income&amp;Equity'!F21</f>
        <v>2893</v>
      </c>
      <c r="G23" s="284">
        <f>-'Income&amp;Equity'!G21</f>
        <v>2893</v>
      </c>
      <c r="H23" s="284">
        <f>-'Income&amp;Equity'!H21</f>
        <v>2893</v>
      </c>
      <c r="I23" s="284">
        <f>-'Income&amp;Equity'!I21</f>
        <v>2893</v>
      </c>
      <c r="J23" s="284">
        <f>-'Income&amp;Equity'!J21</f>
        <v>2893</v>
      </c>
      <c r="K23" s="284">
        <f>-'Income&amp;Equity'!K21</f>
        <v>2893</v>
      </c>
      <c r="L23" s="284">
        <f>-'Income&amp;Equity'!L21</f>
        <v>2893</v>
      </c>
      <c r="M23" s="284">
        <f>-'Income&amp;Equity'!M21</f>
        <v>2893</v>
      </c>
      <c r="N23" s="284">
        <f>-'Income&amp;Equity'!N21</f>
        <v>2893</v>
      </c>
    </row>
    <row r="24" spans="2:14" x14ac:dyDescent="0.25">
      <c r="B24" s="27" t="s">
        <v>52</v>
      </c>
      <c r="C24" s="27"/>
      <c r="D24" s="327">
        <f>SUM(D22:D23)</f>
        <v>5096</v>
      </c>
      <c r="E24" s="327">
        <f>SUM(E22:E23)</f>
        <v>5096</v>
      </c>
      <c r="F24" s="327">
        <f t="shared" ref="F24:L24" si="3">SUM(F22:F23)</f>
        <v>5096</v>
      </c>
      <c r="G24" s="327">
        <f t="shared" si="3"/>
        <v>5096</v>
      </c>
      <c r="H24" s="327">
        <f t="shared" si="3"/>
        <v>5096</v>
      </c>
      <c r="I24" s="327">
        <f t="shared" si="3"/>
        <v>5096</v>
      </c>
      <c r="J24" s="327">
        <f t="shared" si="3"/>
        <v>5096</v>
      </c>
      <c r="K24" s="327">
        <f t="shared" si="3"/>
        <v>5096</v>
      </c>
      <c r="L24" s="327">
        <f t="shared" si="3"/>
        <v>5096</v>
      </c>
      <c r="M24" s="327">
        <f>SUM(M22:M23)</f>
        <v>5096</v>
      </c>
      <c r="N24" s="327">
        <f>SUM(N22:N23)</f>
        <v>5096</v>
      </c>
    </row>
    <row r="25" spans="2:14" x14ac:dyDescent="0.25">
      <c r="B25" s="5"/>
      <c r="C25" s="5"/>
      <c r="D25" s="19"/>
      <c r="E25" s="19"/>
      <c r="F25" s="19"/>
      <c r="G25" s="19"/>
      <c r="H25" s="19"/>
      <c r="I25" s="19"/>
      <c r="J25" s="19"/>
      <c r="K25" s="19"/>
      <c r="L25" s="19"/>
      <c r="M25" s="19"/>
      <c r="N25" s="19"/>
    </row>
    <row r="26" spans="2:14" ht="13.8" thickBot="1" x14ac:dyDescent="0.3">
      <c r="B26" s="10" t="s">
        <v>45</v>
      </c>
      <c r="C26" s="10"/>
      <c r="D26" s="286">
        <f>D24+D20</f>
        <v>5574.3586701218019</v>
      </c>
      <c r="E26" s="286">
        <f>E24+E20</f>
        <v>5708.1138443973796</v>
      </c>
      <c r="F26" s="286">
        <f t="shared" ref="F26:L26" si="4">F24+F20</f>
        <v>5783.8933579276381</v>
      </c>
      <c r="G26" s="286">
        <f t="shared" si="4"/>
        <v>5919.7717998063335</v>
      </c>
      <c r="H26" s="286">
        <f t="shared" si="4"/>
        <v>6123.0430885241976</v>
      </c>
      <c r="I26" s="286">
        <f t="shared" si="4"/>
        <v>6384.6707290591748</v>
      </c>
      <c r="J26" s="286">
        <f t="shared" si="4"/>
        <v>6687.8073371852197</v>
      </c>
      <c r="K26" s="286">
        <f t="shared" si="4"/>
        <v>7018.4605584257497</v>
      </c>
      <c r="L26" s="286">
        <f t="shared" si="4"/>
        <v>7369.3835863469785</v>
      </c>
      <c r="M26" s="286">
        <f>M24+M20</f>
        <v>7737.8527656643464</v>
      </c>
      <c r="N26" s="286">
        <f>N24+N20</f>
        <v>8124.7454039475906</v>
      </c>
    </row>
    <row r="27" spans="2:14" ht="13.8" thickTop="1" x14ac:dyDescent="0.25"/>
    <row r="28" spans="2:14" x14ac:dyDescent="0.25">
      <c r="B28" s="13" t="s">
        <v>15</v>
      </c>
      <c r="D28" s="97">
        <f t="shared" ref="D28:N28" si="5">D26-D11</f>
        <v>0</v>
      </c>
      <c r="E28" s="97">
        <f t="shared" si="5"/>
        <v>0</v>
      </c>
      <c r="F28" s="97">
        <f t="shared" si="5"/>
        <v>0</v>
      </c>
      <c r="G28" s="97">
        <f t="shared" si="5"/>
        <v>8.1854523159563541E-12</v>
      </c>
      <c r="H28" s="97">
        <f t="shared" si="5"/>
        <v>0</v>
      </c>
      <c r="I28" s="97">
        <f t="shared" si="5"/>
        <v>0</v>
      </c>
      <c r="J28" s="97">
        <f t="shared" si="5"/>
        <v>-1.0004441719502211E-11</v>
      </c>
      <c r="K28" s="97">
        <f t="shared" si="5"/>
        <v>2.6375346351414919E-11</v>
      </c>
      <c r="L28" s="97">
        <f t="shared" si="5"/>
        <v>-1.3642420526593924E-11</v>
      </c>
      <c r="M28" s="97">
        <f t="shared" si="5"/>
        <v>0</v>
      </c>
      <c r="N28" s="97">
        <f t="shared" si="5"/>
        <v>1.546140993013978E-11</v>
      </c>
    </row>
    <row r="31" spans="2:14" x14ac:dyDescent="0.25">
      <c r="D31" s="99"/>
      <c r="E31" s="99"/>
      <c r="F31" s="99"/>
      <c r="G31" s="99"/>
      <c r="H31" s="99"/>
      <c r="I31" s="99"/>
      <c r="J31" s="99"/>
      <c r="K31" s="99"/>
      <c r="L31" s="99"/>
      <c r="M31" s="99"/>
      <c r="N31" s="99"/>
    </row>
  </sheetData>
  <sheetProtection sheet="1" objects="1" scenarios="1"/>
  <conditionalFormatting sqref="B2:N28">
    <cfRule type="expression" dxfId="25" priority="1">
      <formula>_xlfn.ISFORMULA(B2)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315A7-DA8B-4159-8F3B-A269C8FAF221}">
  <sheetPr>
    <tabColor theme="6" tint="-0.249977111117893"/>
  </sheetPr>
  <dimension ref="B2:N23"/>
  <sheetViews>
    <sheetView showGridLines="0" workbookViewId="0">
      <selection activeCell="C11" sqref="C11"/>
    </sheetView>
  </sheetViews>
  <sheetFormatPr defaultRowHeight="13.2" x14ac:dyDescent="0.25"/>
  <cols>
    <col min="1" max="1" width="8.88671875" style="2"/>
    <col min="2" max="2" width="18.109375" style="2" bestFit="1" customWidth="1"/>
    <col min="3" max="7" width="16.109375" style="2" customWidth="1"/>
    <col min="8" max="8" width="8.88671875" style="2"/>
    <col min="9" max="9" width="14.44140625" style="2" customWidth="1"/>
    <col min="10" max="10" width="18.88671875" style="2" customWidth="1"/>
    <col min="11" max="11" width="9.77734375" style="2" customWidth="1"/>
    <col min="12" max="14" width="14.44140625" style="2" customWidth="1"/>
    <col min="15" max="1999" width="8.88671875" style="2"/>
    <col min="2000" max="2000" width="2.33203125" style="2" customWidth="1"/>
    <col min="2001" max="16384" width="8.88671875" style="2"/>
  </cols>
  <sheetData>
    <row r="2" spans="2:14" x14ac:dyDescent="0.25">
      <c r="B2" s="337" t="e" vm="1">
        <v>#VALUE!</v>
      </c>
      <c r="C2" s="337"/>
      <c r="D2" s="337"/>
      <c r="E2" s="35" t="str" cm="1">
        <f t="array" ref="E2">_FV(B2,"Currency")</f>
        <v>USD</v>
      </c>
      <c r="F2" s="35" t="str" cm="1">
        <f t="array" ref="F2">_FV(B2,"Industry")</f>
        <v>Textiles &amp; Apparel</v>
      </c>
    </row>
    <row r="3" spans="2:14" ht="13.8" thickBot="1" x14ac:dyDescent="0.3">
      <c r="B3" s="36"/>
      <c r="C3" s="36"/>
      <c r="H3" s="2" t="s">
        <v>336</v>
      </c>
      <c r="I3" s="40" t="s">
        <v>337</v>
      </c>
    </row>
    <row r="4" spans="2:14" x14ac:dyDescent="0.25">
      <c r="B4" s="37" t="s">
        <v>318</v>
      </c>
      <c r="C4" s="101">
        <f>(Balance!C19+Balance!C17+Balance!C23+Balance!C24)/1000</f>
        <v>12.009</v>
      </c>
      <c r="E4" s="38" t="s">
        <v>60</v>
      </c>
      <c r="F4" s="39">
        <v>3.9699999999999999E-2</v>
      </c>
      <c r="H4" s="2" t="s">
        <v>338</v>
      </c>
      <c r="I4" s="40" t="s">
        <v>61</v>
      </c>
    </row>
    <row r="5" spans="2:14" x14ac:dyDescent="0.25">
      <c r="B5" s="41" t="s">
        <v>62</v>
      </c>
      <c r="C5" s="102" cm="1">
        <f t="array" ref="C5">_FV(B2,"Market cap",TRUE)/1000000000</f>
        <v>125.28643803999999</v>
      </c>
      <c r="E5" s="42" t="s">
        <v>63</v>
      </c>
      <c r="F5" s="43" cm="1">
        <f t="array" ref="F5">_FV(B2,"Beta")</f>
        <v>1.0132000000000001</v>
      </c>
      <c r="H5" s="2" t="s">
        <v>71</v>
      </c>
      <c r="I5" s="40" t="s">
        <v>116</v>
      </c>
    </row>
    <row r="6" spans="2:14" x14ac:dyDescent="0.25">
      <c r="B6" s="42" t="s">
        <v>64</v>
      </c>
      <c r="C6" s="44">
        <f>C4/(C4+C5)</f>
        <v>8.7468310465649041E-2</v>
      </c>
      <c r="E6" s="32" t="s">
        <v>65</v>
      </c>
      <c r="F6" s="186">
        <v>1.19</v>
      </c>
    </row>
    <row r="7" spans="2:14" x14ac:dyDescent="0.25">
      <c r="B7" s="41" t="s">
        <v>66</v>
      </c>
      <c r="C7" s="45">
        <v>0.32</v>
      </c>
      <c r="E7" s="32" t="s">
        <v>67</v>
      </c>
      <c r="F7" s="46">
        <f>(0.33+0.67*F5+0.33+0.67*F6)/2</f>
        <v>1.0680720000000001</v>
      </c>
    </row>
    <row r="8" spans="2:14" ht="13.8" thickBot="1" x14ac:dyDescent="0.3">
      <c r="B8" s="47" t="s">
        <v>68</v>
      </c>
      <c r="C8" s="48">
        <f>AVERAGE(C6:C7)</f>
        <v>0.20373415523282451</v>
      </c>
      <c r="E8" s="32" t="s">
        <v>69</v>
      </c>
      <c r="F8" s="49">
        <v>5.2999999999999999E-2</v>
      </c>
    </row>
    <row r="9" spans="2:14" ht="13.8" thickBot="1" x14ac:dyDescent="0.3">
      <c r="E9" s="50" t="s">
        <v>70</v>
      </c>
      <c r="F9" s="51">
        <f>F4+F7*F8</f>
        <v>9.6307816000000004E-2</v>
      </c>
    </row>
    <row r="10" spans="2:14" ht="13.8" thickBot="1" x14ac:dyDescent="0.3">
      <c r="B10" s="38" t="s">
        <v>71</v>
      </c>
      <c r="C10" s="52" t="s">
        <v>72</v>
      </c>
    </row>
    <row r="11" spans="2:14" ht="13.8" thickBot="1" x14ac:dyDescent="0.3">
      <c r="B11" s="50" t="s">
        <v>73</v>
      </c>
      <c r="C11" s="103">
        <f>F4+0.7%</f>
        <v>4.6699999999999998E-2</v>
      </c>
      <c r="E11" s="53" t="s">
        <v>74</v>
      </c>
      <c r="F11" s="54" cm="1">
        <f t="array" ref="F11">_FV(B2,"Previous close",TRUE)</f>
        <v>83.28</v>
      </c>
    </row>
    <row r="12" spans="2:14" x14ac:dyDescent="0.25">
      <c r="B12" s="189"/>
      <c r="C12" s="189"/>
      <c r="D12" s="189"/>
      <c r="E12" s="189"/>
      <c r="F12" s="189"/>
      <c r="G12" s="189"/>
      <c r="H12" s="189"/>
      <c r="I12" s="189"/>
      <c r="J12" s="189"/>
      <c r="K12" s="189"/>
      <c r="L12" s="189"/>
      <c r="M12" s="189"/>
      <c r="N12" s="189"/>
    </row>
    <row r="13" spans="2:14" x14ac:dyDescent="0.25">
      <c r="B13" s="33"/>
      <c r="C13" s="33"/>
      <c r="D13" s="33"/>
      <c r="E13" s="33"/>
      <c r="F13" s="33"/>
      <c r="G13" s="33"/>
      <c r="I13" s="33"/>
      <c r="J13" s="33"/>
      <c r="K13" s="33"/>
      <c r="L13" s="33"/>
      <c r="M13" s="33"/>
      <c r="N13" s="33"/>
    </row>
    <row r="14" spans="2:14" ht="26.4" x14ac:dyDescent="0.25">
      <c r="B14" s="55" t="s">
        <v>75</v>
      </c>
      <c r="C14" s="334" t="s">
        <v>335</v>
      </c>
      <c r="D14" s="56" t="s">
        <v>76</v>
      </c>
      <c r="E14" s="56" t="s">
        <v>77</v>
      </c>
      <c r="F14" s="56" t="s">
        <v>78</v>
      </c>
      <c r="G14" s="56" t="s">
        <v>79</v>
      </c>
      <c r="I14" s="55" t="s">
        <v>75</v>
      </c>
      <c r="J14" s="334" t="s">
        <v>339</v>
      </c>
      <c r="K14" s="56" t="s">
        <v>76</v>
      </c>
      <c r="L14" s="56" t="s">
        <v>77</v>
      </c>
      <c r="M14" s="56" t="s">
        <v>78</v>
      </c>
      <c r="N14" s="56" t="s">
        <v>79</v>
      </c>
    </row>
    <row r="15" spans="2:14" x14ac:dyDescent="0.25">
      <c r="B15" s="2" t="s">
        <v>319</v>
      </c>
      <c r="C15" s="185">
        <f>C6</f>
        <v>8.7468310465649041E-2</v>
      </c>
      <c r="D15" s="187">
        <f>C11</f>
        <v>4.6699999999999998E-2</v>
      </c>
      <c r="E15" s="187">
        <f>E20</f>
        <v>0.1320933237257694</v>
      </c>
      <c r="F15" s="57">
        <f>D15*((1-E15))</f>
        <v>4.0531241782006566E-2</v>
      </c>
      <c r="G15" s="82">
        <f>F15*C15</f>
        <v>3.5451992397468367E-3</v>
      </c>
      <c r="I15" s="2" t="s">
        <v>319</v>
      </c>
      <c r="J15" s="185">
        <f>C20</f>
        <v>0.20373415523282451</v>
      </c>
      <c r="K15" s="187">
        <f>C11</f>
        <v>4.6699999999999998E-2</v>
      </c>
      <c r="L15" s="187">
        <f>E15</f>
        <v>0.1320933237257694</v>
      </c>
      <c r="M15" s="57">
        <f>K15*((1-L15))</f>
        <v>4.0531241782006566E-2</v>
      </c>
      <c r="N15" s="82">
        <f>M15*J15</f>
        <v>8.2575983049944686E-3</v>
      </c>
    </row>
    <row r="16" spans="2:14" x14ac:dyDescent="0.25">
      <c r="B16" s="33" t="s">
        <v>80</v>
      </c>
      <c r="C16" s="58">
        <f>1-C15</f>
        <v>0.91253168953435093</v>
      </c>
      <c r="D16" s="188">
        <f>(0.33+0.67*F5)*F8+F4</f>
        <v>9.3168732000000004E-2</v>
      </c>
      <c r="E16" s="188"/>
      <c r="F16" s="59">
        <f>D16</f>
        <v>9.3168732000000004E-2</v>
      </c>
      <c r="G16" s="83">
        <f>F16*C16</f>
        <v>8.5019420423733144E-2</v>
      </c>
      <c r="I16" s="33" t="s">
        <v>80</v>
      </c>
      <c r="J16" s="58">
        <f>1-J15</f>
        <v>0.79626584476717555</v>
      </c>
      <c r="K16" s="188">
        <f>F9</f>
        <v>9.6307816000000004E-2</v>
      </c>
      <c r="L16" s="188"/>
      <c r="M16" s="59">
        <f>K16</f>
        <v>9.6307816000000004E-2</v>
      </c>
      <c r="N16" s="83">
        <f>M16*J16</f>
        <v>7.6686624464921707E-2</v>
      </c>
    </row>
    <row r="17" spans="2:14" ht="13.8" thickBot="1" x14ac:dyDescent="0.3">
      <c r="B17" s="2" t="s">
        <v>58</v>
      </c>
      <c r="C17" s="60">
        <f>SUM(C15:C16)</f>
        <v>1</v>
      </c>
      <c r="D17" s="137">
        <f>D15*C15+D16*C16</f>
        <v>8.9104190522478949E-2</v>
      </c>
      <c r="E17" s="57"/>
      <c r="F17" s="137">
        <f>G17</f>
        <v>8.8564619663479976E-2</v>
      </c>
      <c r="G17" s="137">
        <f>SUM(G15:G16)</f>
        <v>8.8564619663479976E-2</v>
      </c>
      <c r="I17" s="2" t="s">
        <v>58</v>
      </c>
      <c r="J17" s="60">
        <f>SUM(J15:J16)</f>
        <v>1</v>
      </c>
      <c r="K17" s="137">
        <f>K15*J15+K16*J16</f>
        <v>8.6201009514294616E-2</v>
      </c>
      <c r="L17" s="57"/>
      <c r="M17" s="137">
        <f>N17</f>
        <v>8.4944222769916172E-2</v>
      </c>
      <c r="N17" s="137">
        <f>SUM(N15:N16)</f>
        <v>8.4944222769916172E-2</v>
      </c>
    </row>
    <row r="18" spans="2:14" ht="13.8" thickTop="1" x14ac:dyDescent="0.25">
      <c r="B18" s="33"/>
      <c r="C18" s="33"/>
      <c r="D18" s="33"/>
      <c r="E18" s="33"/>
      <c r="F18" s="33"/>
      <c r="G18" s="33"/>
    </row>
    <row r="19" spans="2:14" ht="26.4" customHeight="1" x14ac:dyDescent="0.25">
      <c r="B19" s="55" t="s">
        <v>75</v>
      </c>
      <c r="C19" s="334" t="s">
        <v>340</v>
      </c>
      <c r="D19" s="56" t="s">
        <v>76</v>
      </c>
      <c r="E19" s="56" t="s">
        <v>77</v>
      </c>
      <c r="F19" s="56" t="s">
        <v>78</v>
      </c>
      <c r="G19" s="56" t="s">
        <v>79</v>
      </c>
    </row>
    <row r="20" spans="2:14" x14ac:dyDescent="0.25">
      <c r="B20" s="2" t="s">
        <v>319</v>
      </c>
      <c r="C20" s="335">
        <f>C8</f>
        <v>0.20373415523282451</v>
      </c>
      <c r="D20" s="187">
        <f>C11</f>
        <v>4.6699999999999998E-2</v>
      </c>
      <c r="E20" s="187">
        <f>DATA!P18</f>
        <v>0.1320933237257694</v>
      </c>
      <c r="F20" s="57">
        <f>D20*((1-E20))</f>
        <v>4.0531241782006566E-2</v>
      </c>
      <c r="G20" s="82">
        <f>F20*C20</f>
        <v>8.2575983049944686E-3</v>
      </c>
    </row>
    <row r="21" spans="2:14" x14ac:dyDescent="0.25">
      <c r="B21" s="33" t="s">
        <v>80</v>
      </c>
      <c r="C21" s="83">
        <f>1-C20</f>
        <v>0.79626584476717555</v>
      </c>
      <c r="D21" s="188">
        <f>D22+(C20/C21)*(D22-D20)</f>
        <v>9.9953810647721228E-2</v>
      </c>
      <c r="E21" s="188"/>
      <c r="F21" s="59">
        <f>D21</f>
        <v>9.9953810647721228E-2</v>
      </c>
      <c r="G21" s="83">
        <f>F21*C21</f>
        <v>7.9589805473106054E-2</v>
      </c>
    </row>
    <row r="22" spans="2:14" ht="13.8" thickBot="1" x14ac:dyDescent="0.3">
      <c r="B22" s="2" t="s">
        <v>58</v>
      </c>
      <c r="C22" s="60">
        <f>SUM(C20:C21)</f>
        <v>1</v>
      </c>
      <c r="D22" s="137">
        <f>D17</f>
        <v>8.9104190522478949E-2</v>
      </c>
      <c r="E22" s="57"/>
      <c r="F22" s="137">
        <f>G22</f>
        <v>8.7847403778100519E-2</v>
      </c>
      <c r="G22" s="137">
        <f>SUM(G20:G21)</f>
        <v>8.7847403778100519E-2</v>
      </c>
    </row>
    <row r="23" spans="2:14" ht="13.8" thickTop="1" x14ac:dyDescent="0.25"/>
  </sheetData>
  <sheetProtection sheet="1" objects="1" scenarios="1"/>
  <mergeCells count="1">
    <mergeCell ref="B2:D2"/>
  </mergeCells>
  <conditionalFormatting sqref="B2:G3 B4:F4 I4:I5 B5:G10 B11:F11 B12:G22">
    <cfRule type="expression" dxfId="24" priority="2">
      <formula>_xlfn.ISFORMULA(B2)</formula>
    </cfRule>
  </conditionalFormatting>
  <conditionalFormatting sqref="I14:N17">
    <cfRule type="expression" dxfId="23" priority="1">
      <formula>_xlfn.ISFORMULA(I14)</formula>
    </cfRule>
  </conditionalFormatting>
  <hyperlinks>
    <hyperlink ref="I4" r:id="rId1" xr:uid="{79789733-6BB2-45B5-9197-98B61B9BB15B}"/>
    <hyperlink ref="I5" r:id="rId2" xr:uid="{3E96EFCB-F8FC-4C33-A120-A87DB5A4AF73}"/>
    <hyperlink ref="I3" r:id="rId3" xr:uid="{8481F200-B8DB-4A43-943D-F1519E191587}"/>
  </hyperlinks>
  <pageMargins left="0.7" right="0.7" top="0.75" bottom="0.75" header="0.3" footer="0.3"/>
  <drawing r:id="rId4"/>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2A6CE-628A-4D49-BDF5-6E87BD13194D}">
  <sheetPr>
    <tabColor theme="5" tint="-0.249977111117893"/>
  </sheetPr>
  <dimension ref="B2:P28"/>
  <sheetViews>
    <sheetView showGridLines="0" zoomScaleNormal="100" workbookViewId="0">
      <selection activeCell="C22" sqref="C22"/>
    </sheetView>
  </sheetViews>
  <sheetFormatPr defaultRowHeight="13.2" x14ac:dyDescent="0.25"/>
  <cols>
    <col min="1" max="1" width="8.88671875" style="1"/>
    <col min="2" max="2" width="14.77734375" style="1" bestFit="1" customWidth="1"/>
    <col min="3" max="3" width="11.21875" style="1" customWidth="1"/>
    <col min="4" max="4" width="5" style="1" bestFit="1" customWidth="1"/>
    <col min="5" max="5" width="11.21875" style="1" customWidth="1"/>
    <col min="6" max="6" width="5.6640625" style="1" customWidth="1"/>
    <col min="7" max="7" width="6" style="1" bestFit="1" customWidth="1"/>
    <col min="8" max="8" width="7" style="1" bestFit="1" customWidth="1"/>
    <col min="9" max="9" width="11.21875" style="1" customWidth="1"/>
    <col min="10" max="10" width="6" style="1" bestFit="1" customWidth="1"/>
    <col min="11" max="11" width="7" style="1" customWidth="1"/>
    <col min="12" max="12" width="5.5546875" style="1" customWidth="1"/>
    <col min="13" max="13" width="35.44140625" style="1" bestFit="1" customWidth="1"/>
    <col min="14" max="14" width="12.21875" style="1" bestFit="1" customWidth="1"/>
    <col min="15" max="15" width="10.33203125" style="1" bestFit="1" customWidth="1"/>
    <col min="16" max="16" width="15.77734375" style="1" bestFit="1" customWidth="1"/>
    <col min="17" max="17" width="8.88671875" style="1"/>
    <col min="18" max="18" width="7.6640625" style="1" bestFit="1" customWidth="1"/>
    <col min="19" max="1999" width="8.88671875" style="1"/>
    <col min="2000" max="2000" width="2.33203125" style="1" customWidth="1"/>
    <col min="2001" max="2008" width="8.88671875" style="1"/>
    <col min="2009" max="2009" width="2.33203125" style="1" customWidth="1"/>
    <col min="2010" max="16384" width="8.88671875" style="1"/>
  </cols>
  <sheetData>
    <row r="2" spans="2:16" x14ac:dyDescent="0.25">
      <c r="B2" s="134" t="s">
        <v>274</v>
      </c>
      <c r="C2" s="338" t="s">
        <v>16</v>
      </c>
      <c r="D2" s="338"/>
      <c r="E2" s="339" t="s">
        <v>276</v>
      </c>
      <c r="F2" s="338"/>
      <c r="G2" s="301" t="s">
        <v>275</v>
      </c>
      <c r="H2" s="301" t="s">
        <v>54</v>
      </c>
      <c r="I2" s="339" t="s">
        <v>279</v>
      </c>
      <c r="J2" s="338"/>
      <c r="K2" s="338"/>
      <c r="M2" s="135"/>
      <c r="N2" s="136" t="s">
        <v>81</v>
      </c>
      <c r="O2" s="136" t="s">
        <v>82</v>
      </c>
      <c r="P2" s="136" t="s">
        <v>83</v>
      </c>
    </row>
    <row r="3" spans="2:16" x14ac:dyDescent="0.25">
      <c r="B3" s="211" cm="1">
        <f t="array" ref="B3:B15">_xlfn.SEQUENCE(13,1,2024)</f>
        <v>2024</v>
      </c>
      <c r="C3" s="202" cm="1">
        <f t="array" ref="C3:C15">TRANSPOSE(NOPAT!C12:O12)</f>
        <v>5544.3784628927087</v>
      </c>
      <c r="D3" s="202"/>
      <c r="E3" s="297" cm="1">
        <f t="array" ref="E3:E14">TRANSPOSE(Investment!C11:N11)</f>
        <v>16677.239999999998</v>
      </c>
      <c r="F3" s="299"/>
      <c r="G3" s="300"/>
      <c r="H3" s="211"/>
      <c r="I3" s="297" cm="1">
        <f t="array" ref="I3:I14">TRANSPOSE(Investment!C8:N8)</f>
        <v>15385.239999999998</v>
      </c>
      <c r="M3" s="1">
        <v>1</v>
      </c>
      <c r="N3" s="104" cm="1">
        <f t="array" ref="N3:N13">TRANSPOSE(FCF!D11:N11)</f>
        <v>5574.3586701217992</v>
      </c>
      <c r="O3" s="61">
        <f>1/(1+$C$23)^M3</f>
        <v>0.91924657495802631</v>
      </c>
      <c r="P3" s="84">
        <f>O3*N3</f>
        <v>5124.210115097042</v>
      </c>
    </row>
    <row r="4" spans="2:16" x14ac:dyDescent="0.25">
      <c r="B4" s="211">
        <v>2025</v>
      </c>
      <c r="C4" s="202">
        <v>5985.7779039393963</v>
      </c>
      <c r="D4" s="299">
        <f t="shared" ref="D4:D14" si="0">C4/C3-1</f>
        <v>7.9612069053524248E-2</v>
      </c>
      <c r="E4" s="297">
        <v>17088.659233817594</v>
      </c>
      <c r="F4" s="299">
        <f t="shared" ref="F4:F14" si="1">E4/E3-1</f>
        <v>2.4669503695911033E-2</v>
      </c>
      <c r="G4" s="300">
        <f>C4/E3</f>
        <v>0.35891897603796535</v>
      </c>
      <c r="H4" s="298"/>
      <c r="I4" s="297">
        <v>15796.659233817594</v>
      </c>
      <c r="J4" s="300">
        <f>C4/I3</f>
        <v>0.38905976792948288</v>
      </c>
      <c r="M4" s="1">
        <f>M3+1</f>
        <v>2</v>
      </c>
      <c r="N4" s="104">
        <v>5708.1138443973832</v>
      </c>
      <c r="O4" s="61">
        <f t="shared" ref="O4:O13" si="2">1/(1+$C$23)^M4</f>
        <v>0.84501426557206227</v>
      </c>
      <c r="P4" s="84">
        <f t="shared" ref="P4:P11" si="3">O4*N4</f>
        <v>4823.4376280251754</v>
      </c>
    </row>
    <row r="5" spans="2:16" x14ac:dyDescent="0.25">
      <c r="B5" s="211">
        <v>2026</v>
      </c>
      <c r="C5" s="202">
        <v>6169.1997842621449</v>
      </c>
      <c r="D5" s="299">
        <f t="shared" si="0"/>
        <v>3.0642947878509519E-2</v>
      </c>
      <c r="E5" s="297">
        <v>17549.745173682357</v>
      </c>
      <c r="F5" s="299">
        <f t="shared" si="1"/>
        <v>2.6981984575612294E-2</v>
      </c>
      <c r="G5" s="300">
        <f t="shared" ref="G5:G13" si="4">C5/E4</f>
        <v>0.36101134090459303</v>
      </c>
      <c r="H5" s="299">
        <f>(C5-C4)/(E4-E3)</f>
        <v>0.44582718853652131</v>
      </c>
      <c r="I5" s="297">
        <v>16257.745173682357</v>
      </c>
      <c r="J5" s="300">
        <f t="shared" ref="J5:J15" si="5">C5/I4</f>
        <v>0.39053825830812888</v>
      </c>
      <c r="K5" s="300">
        <f t="shared" ref="K5:K14" si="6">(C5-C4)/(I4-I3)</f>
        <v>0.44582718853652131</v>
      </c>
      <c r="M5" s="1">
        <f t="shared" ref="M5:M13" si="7">M4+1</f>
        <v>3</v>
      </c>
      <c r="N5" s="104">
        <v>5783.89335792764</v>
      </c>
      <c r="O5" s="61">
        <f t="shared" si="2"/>
        <v>0.77677646941779033</v>
      </c>
      <c r="P5" s="84">
        <f t="shared" si="3"/>
        <v>4492.7922620600402</v>
      </c>
    </row>
    <row r="6" spans="2:16" x14ac:dyDescent="0.25">
      <c r="B6" s="211">
        <v>2027</v>
      </c>
      <c r="C6" s="202">
        <v>6380.517041583299</v>
      </c>
      <c r="D6" s="299">
        <f t="shared" si="0"/>
        <v>3.4253592801489763E-2</v>
      </c>
      <c r="E6" s="297">
        <v>18146.368857338017</v>
      </c>
      <c r="F6" s="299">
        <f t="shared" si="1"/>
        <v>3.399614511499327E-2</v>
      </c>
      <c r="G6" s="300">
        <f t="shared" si="4"/>
        <v>0.36356750359837353</v>
      </c>
      <c r="H6" s="299">
        <f t="shared" ref="H6:H14" si="8">(C6-C5)/(E5-E4)</f>
        <v>0.45830340734990499</v>
      </c>
      <c r="I6" s="297">
        <v>16854.368857338017</v>
      </c>
      <c r="J6" s="300">
        <f t="shared" si="5"/>
        <v>0.39246014582095462</v>
      </c>
      <c r="K6" s="300">
        <f t="shared" si="6"/>
        <v>0.45830340734990499</v>
      </c>
      <c r="M6" s="1">
        <f t="shared" si="7"/>
        <v>4</v>
      </c>
      <c r="N6" s="104">
        <v>5919.7717998063254</v>
      </c>
      <c r="O6" s="61">
        <f t="shared" si="2"/>
        <v>0.71404910902029184</v>
      </c>
      <c r="P6" s="84">
        <f t="shared" si="3"/>
        <v>4227.0077792551565</v>
      </c>
    </row>
    <row r="7" spans="2:16" x14ac:dyDescent="0.25">
      <c r="B7" s="211">
        <v>2028</v>
      </c>
      <c r="C7" s="202">
        <v>6643.3281346670165</v>
      </c>
      <c r="D7" s="299">
        <f t="shared" si="0"/>
        <v>4.118962325010922E-2</v>
      </c>
      <c r="E7" s="297">
        <v>18869.925192198712</v>
      </c>
      <c r="F7" s="299">
        <f t="shared" si="1"/>
        <v>3.9873339980527556E-2</v>
      </c>
      <c r="G7" s="300">
        <f t="shared" si="4"/>
        <v>0.3660968311013138</v>
      </c>
      <c r="H7" s="299">
        <f t="shared" si="8"/>
        <v>0.44049725192504802</v>
      </c>
      <c r="I7" s="297">
        <v>17577.925192198712</v>
      </c>
      <c r="J7" s="300">
        <f t="shared" si="5"/>
        <v>0.39416059959875976</v>
      </c>
      <c r="K7" s="300">
        <f t="shared" si="6"/>
        <v>0.44049725192504802</v>
      </c>
      <c r="M7" s="1">
        <f t="shared" si="7"/>
        <v>5</v>
      </c>
      <c r="N7" s="104">
        <v>6123.0430885242013</v>
      </c>
      <c r="O7" s="61">
        <f t="shared" si="2"/>
        <v>0.65638719781873356</v>
      </c>
      <c r="P7" s="84">
        <f t="shared" si="3"/>
        <v>4019.0870949997643</v>
      </c>
    </row>
    <row r="8" spans="2:16" x14ac:dyDescent="0.25">
      <c r="B8" s="211">
        <v>2029</v>
      </c>
      <c r="C8" s="202">
        <v>6949.2064551853873</v>
      </c>
      <c r="D8" s="299">
        <f t="shared" si="0"/>
        <v>4.604293425191508E-2</v>
      </c>
      <c r="E8" s="297">
        <v>19696.088558859898</v>
      </c>
      <c r="F8" s="299">
        <f t="shared" si="1"/>
        <v>4.3782015998809598E-2</v>
      </c>
      <c r="G8" s="300">
        <f t="shared" si="4"/>
        <v>0.36826889266409807</v>
      </c>
      <c r="H8" s="299">
        <f t="shared" si="8"/>
        <v>0.42274292377975076</v>
      </c>
      <c r="I8" s="297">
        <v>18404.088558859898</v>
      </c>
      <c r="J8" s="300">
        <f t="shared" si="5"/>
        <v>0.39533712763037165</v>
      </c>
      <c r="K8" s="300">
        <f t="shared" si="6"/>
        <v>0.42274292377975076</v>
      </c>
      <c r="M8" s="1">
        <f t="shared" si="7"/>
        <v>6</v>
      </c>
      <c r="N8" s="104">
        <v>6384.6707290591748</v>
      </c>
      <c r="O8" s="61">
        <f t="shared" si="2"/>
        <v>0.60338168344116738</v>
      </c>
      <c r="P8" s="84">
        <f t="shared" si="3"/>
        <v>3852.3933727172703</v>
      </c>
    </row>
    <row r="9" spans="2:16" x14ac:dyDescent="0.25">
      <c r="B9" s="211">
        <v>2030</v>
      </c>
      <c r="C9" s="202">
        <v>7287.3410683016191</v>
      </c>
      <c r="D9" s="299">
        <f t="shared" si="0"/>
        <v>4.8658018048078233E-2</v>
      </c>
      <c r="E9" s="297">
        <v>20598.75889810234</v>
      </c>
      <c r="F9" s="299">
        <f t="shared" si="1"/>
        <v>4.5829928949846943E-2</v>
      </c>
      <c r="G9" s="300">
        <f t="shared" si="4"/>
        <v>0.36998925175037112</v>
      </c>
      <c r="H9" s="299">
        <f t="shared" si="8"/>
        <v>0.40928299021869236</v>
      </c>
      <c r="I9" s="297">
        <v>19306.75889810234</v>
      </c>
      <c r="J9" s="300">
        <f t="shared" si="5"/>
        <v>0.39596316030512829</v>
      </c>
      <c r="K9" s="300">
        <f t="shared" si="6"/>
        <v>0.40928299021869236</v>
      </c>
      <c r="M9" s="1">
        <f t="shared" si="7"/>
        <v>7</v>
      </c>
      <c r="N9" s="104">
        <v>6687.8073371852297</v>
      </c>
      <c r="O9" s="61">
        <f t="shared" si="2"/>
        <v>0.55465654589570113</v>
      </c>
      <c r="P9" s="84">
        <f t="shared" si="3"/>
        <v>3709.4361172590861</v>
      </c>
    </row>
    <row r="10" spans="2:16" x14ac:dyDescent="0.25">
      <c r="B10" s="211">
        <v>2031</v>
      </c>
      <c r="C10" s="202">
        <v>7649.460395317964</v>
      </c>
      <c r="D10" s="299">
        <f t="shared" si="0"/>
        <v>4.9691557403767961E-2</v>
      </c>
      <c r="E10" s="297">
        <v>21560.411956235075</v>
      </c>
      <c r="F10" s="299">
        <f t="shared" si="1"/>
        <v>4.6684999950231232E-2</v>
      </c>
      <c r="G10" s="300">
        <f t="shared" si="4"/>
        <v>0.37135540219477348</v>
      </c>
      <c r="H10" s="299">
        <f t="shared" si="8"/>
        <v>0.40116453512835054</v>
      </c>
      <c r="I10" s="297">
        <v>20268.411956235075</v>
      </c>
      <c r="J10" s="300">
        <f t="shared" si="5"/>
        <v>0.39620634595845233</v>
      </c>
      <c r="K10" s="300">
        <f t="shared" si="6"/>
        <v>0.40116453512835054</v>
      </c>
      <c r="M10" s="1">
        <f t="shared" si="7"/>
        <v>8</v>
      </c>
      <c r="N10" s="104">
        <v>7018.4605584257233</v>
      </c>
      <c r="O10" s="61">
        <f t="shared" si="2"/>
        <v>0.50986613009267268</v>
      </c>
      <c r="P10" s="84">
        <f t="shared" si="3"/>
        <v>3578.475324132582</v>
      </c>
    </row>
    <row r="11" spans="2:16" x14ac:dyDescent="0.25">
      <c r="B11" s="211">
        <v>2032</v>
      </c>
      <c r="C11" s="202">
        <v>8031.881156237464</v>
      </c>
      <c r="D11" s="299">
        <f t="shared" si="0"/>
        <v>4.9993168296363688E-2</v>
      </c>
      <c r="E11" s="297">
        <v>22573.832554046814</v>
      </c>
      <c r="F11" s="299">
        <f t="shared" si="1"/>
        <v>4.7003767825441134E-2</v>
      </c>
      <c r="G11" s="300">
        <f t="shared" si="4"/>
        <v>0.37252911366170427</v>
      </c>
      <c r="H11" s="299">
        <f t="shared" si="8"/>
        <v>0.39767019684006993</v>
      </c>
      <c r="I11" s="297">
        <v>21281.832554046814</v>
      </c>
      <c r="J11" s="300">
        <f t="shared" si="5"/>
        <v>0.39627579968181248</v>
      </c>
      <c r="K11" s="300">
        <f t="shared" si="6"/>
        <v>0.39767019684006993</v>
      </c>
      <c r="M11" s="1">
        <f t="shared" si="7"/>
        <v>9</v>
      </c>
      <c r="N11" s="104">
        <v>7369.3835863469922</v>
      </c>
      <c r="O11" s="61">
        <f t="shared" si="2"/>
        <v>0.46869269377479283</v>
      </c>
      <c r="P11" s="84">
        <f t="shared" si="3"/>
        <v>3453.9762445447154</v>
      </c>
    </row>
    <row r="12" spans="2:16" x14ac:dyDescent="0.25">
      <c r="B12" s="211">
        <v>2033</v>
      </c>
      <c r="C12" s="202">
        <v>8433.4752140493401</v>
      </c>
      <c r="D12" s="299">
        <f t="shared" si="0"/>
        <v>5.0000000000000266E-2</v>
      </c>
      <c r="E12" s="297">
        <v>23637.924181749157</v>
      </c>
      <c r="F12" s="299">
        <f t="shared" si="1"/>
        <v>4.7138279472688893E-2</v>
      </c>
      <c r="G12" s="300">
        <f t="shared" si="4"/>
        <v>0.37359518787329138</v>
      </c>
      <c r="H12" s="299">
        <f t="shared" si="8"/>
        <v>0.39627579968182125</v>
      </c>
      <c r="I12" s="297">
        <v>22345.924181749157</v>
      </c>
      <c r="J12" s="300">
        <f t="shared" si="5"/>
        <v>0.39627579968181292</v>
      </c>
      <c r="K12" s="300">
        <f t="shared" si="6"/>
        <v>0.39627579968182125</v>
      </c>
      <c r="M12" s="1">
        <f t="shared" si="7"/>
        <v>10</v>
      </c>
      <c r="N12" s="104">
        <v>7737.8527656643428</v>
      </c>
      <c r="O12" s="61">
        <f t="shared" si="2"/>
        <v>0.43084415346032934</v>
      </c>
      <c r="P12" s="84">
        <f t="shared" ref="P12:P13" si="9">O12*N12</f>
        <v>3333.8086244233218</v>
      </c>
    </row>
    <row r="13" spans="2:16" x14ac:dyDescent="0.25">
      <c r="B13" s="211">
        <v>2034</v>
      </c>
      <c r="C13" s="202">
        <v>8855.1489747518081</v>
      </c>
      <c r="D13" s="299">
        <f t="shared" si="0"/>
        <v>5.0000000000000044E-2</v>
      </c>
      <c r="E13" s="297">
        <v>24755.220390836628</v>
      </c>
      <c r="F13" s="299">
        <f t="shared" si="1"/>
        <v>4.726710351115071E-2</v>
      </c>
      <c r="G13" s="300">
        <f t="shared" si="4"/>
        <v>0.37461618485048148</v>
      </c>
      <c r="H13" s="299">
        <f t="shared" si="8"/>
        <v>0.39627579968181309</v>
      </c>
      <c r="I13" s="297">
        <v>23463.220390836628</v>
      </c>
      <c r="J13" s="300">
        <f t="shared" si="5"/>
        <v>0.39627579968181292</v>
      </c>
      <c r="K13" s="300">
        <f t="shared" si="6"/>
        <v>0.39627579968181309</v>
      </c>
      <c r="M13" s="1">
        <f t="shared" si="7"/>
        <v>11</v>
      </c>
      <c r="N13" s="104">
        <v>8124.7454039475751</v>
      </c>
      <c r="O13" s="61">
        <f t="shared" si="2"/>
        <v>0.39605201240909804</v>
      </c>
      <c r="P13" s="84">
        <f t="shared" si="9"/>
        <v>3217.8217675450073</v>
      </c>
    </row>
    <row r="14" spans="2:16" x14ac:dyDescent="0.25">
      <c r="B14" s="211">
        <v>2035</v>
      </c>
      <c r="C14" s="202">
        <v>9297.9064234893976</v>
      </c>
      <c r="D14" s="299">
        <f t="shared" si="0"/>
        <v>4.9999999999999822E-2</v>
      </c>
      <c r="E14" s="297">
        <v>25928.38141037845</v>
      </c>
      <c r="F14" s="299">
        <f t="shared" si="1"/>
        <v>4.7390449409049795E-2</v>
      </c>
      <c r="G14" s="300">
        <f>C14/E13</f>
        <v>0.37559376473703715</v>
      </c>
      <c r="H14" s="299">
        <f t="shared" si="8"/>
        <v>0.39627579968180726</v>
      </c>
      <c r="I14" s="297">
        <v>24636.38141037845</v>
      </c>
      <c r="J14" s="300">
        <f t="shared" si="5"/>
        <v>0.39627579968181265</v>
      </c>
      <c r="K14" s="300">
        <f t="shared" si="6"/>
        <v>0.39627579968180726</v>
      </c>
      <c r="M14" s="62" t="s">
        <v>59</v>
      </c>
      <c r="N14" s="122">
        <f>C25</f>
        <v>225404.69946530811</v>
      </c>
      <c r="O14" s="64">
        <f>O13</f>
        <v>0.39605201240909804</v>
      </c>
      <c r="P14" s="123">
        <f>O14*N14</f>
        <v>89271.984829703215</v>
      </c>
    </row>
    <row r="15" spans="2:16" x14ac:dyDescent="0.25">
      <c r="B15" s="211">
        <v>2036</v>
      </c>
      <c r="C15" s="202">
        <v>9762.801744663866</v>
      </c>
      <c r="D15" s="299"/>
      <c r="E15" s="297"/>
      <c r="F15" s="299"/>
      <c r="G15" s="300">
        <f>C15/E14</f>
        <v>0.37652954845673758</v>
      </c>
      <c r="H15" s="299">
        <f>(C15-C14)/(E14-E13)</f>
        <v>0.39627579968181464</v>
      </c>
      <c r="I15" s="303"/>
      <c r="J15" s="300">
        <f t="shared" si="5"/>
        <v>0.39627579968181276</v>
      </c>
      <c r="K15" s="300">
        <f>(C15-C14)/(I14-I13)</f>
        <v>0.39627579968181464</v>
      </c>
      <c r="M15" s="1" t="s">
        <v>84</v>
      </c>
      <c r="N15" s="124"/>
      <c r="P15" s="104">
        <f>SUM(P3:P14)</f>
        <v>133104.43115976237</v>
      </c>
    </row>
    <row r="16" spans="2:16" x14ac:dyDescent="0.25">
      <c r="B16" s="211"/>
      <c r="C16" s="202"/>
      <c r="D16" s="299"/>
      <c r="E16" s="202"/>
      <c r="F16" s="299"/>
      <c r="G16" s="300"/>
      <c r="H16" s="299"/>
    </row>
    <row r="17" spans="2:16" x14ac:dyDescent="0.25">
      <c r="B17" s="211"/>
      <c r="C17" s="202"/>
      <c r="D17" s="299"/>
      <c r="E17" s="202"/>
      <c r="F17" s="299"/>
      <c r="G17" s="300"/>
      <c r="H17" s="299"/>
      <c r="M17" s="1" t="s">
        <v>85</v>
      </c>
      <c r="P17" s="105">
        <f>(1+C23)^(1/2)</f>
        <v>1.0429992347926726</v>
      </c>
    </row>
    <row r="18" spans="2:16" x14ac:dyDescent="0.25">
      <c r="B18" s="211"/>
      <c r="C18" s="202"/>
      <c r="D18" s="299"/>
      <c r="E18" s="202"/>
      <c r="F18" s="299"/>
      <c r="G18" s="300"/>
      <c r="H18" s="299"/>
      <c r="M18" s="62" t="s">
        <v>86</v>
      </c>
      <c r="N18" s="62"/>
      <c r="O18" s="62"/>
      <c r="P18" s="63">
        <f>P17*P15</f>
        <v>138827.81984714614</v>
      </c>
    </row>
    <row r="19" spans="2:16" x14ac:dyDescent="0.25">
      <c r="B19" s="134" t="s">
        <v>55</v>
      </c>
      <c r="C19" s="134"/>
      <c r="D19" s="299"/>
      <c r="E19" s="202"/>
      <c r="F19" s="299"/>
      <c r="G19" s="300"/>
      <c r="H19" s="299"/>
    </row>
    <row r="20" spans="2:16" x14ac:dyDescent="0.25">
      <c r="B20" s="2" t="s">
        <v>278</v>
      </c>
      <c r="C20" s="302">
        <f>NOPAT!O12</f>
        <v>9762.801744663866</v>
      </c>
      <c r="D20" s="299"/>
      <c r="E20" s="202"/>
      <c r="F20" s="299"/>
      <c r="G20" s="300"/>
      <c r="H20" s="299"/>
      <c r="M20" s="1" t="s">
        <v>111</v>
      </c>
      <c r="P20" s="104">
        <f>Investment!C14+Investment!C13</f>
        <v>10554.76</v>
      </c>
    </row>
    <row r="21" spans="2:16" ht="13.8" thickBot="1" x14ac:dyDescent="0.3">
      <c r="B21" s="2" t="s">
        <v>277</v>
      </c>
      <c r="C21" s="190">
        <f>D14</f>
        <v>4.9999999999999822E-2</v>
      </c>
      <c r="D21" s="299"/>
      <c r="E21" s="202"/>
      <c r="F21" s="299"/>
      <c r="G21" s="300"/>
      <c r="H21" s="299"/>
      <c r="M21" s="65" t="s">
        <v>87</v>
      </c>
      <c r="N21" s="65"/>
      <c r="O21" s="65"/>
      <c r="P21" s="106">
        <f>SUM(P18:P20)</f>
        <v>149382.57984714615</v>
      </c>
    </row>
    <row r="22" spans="2:16" ht="13.8" thickTop="1" x14ac:dyDescent="0.25">
      <c r="B22" s="2" t="s">
        <v>54</v>
      </c>
      <c r="C22" s="190">
        <f>H15</f>
        <v>0.39627579968181464</v>
      </c>
      <c r="D22" s="299"/>
      <c r="E22" s="202"/>
      <c r="F22" s="299"/>
      <c r="G22" s="300"/>
      <c r="H22" s="299"/>
    </row>
    <row r="23" spans="2:16" x14ac:dyDescent="0.25">
      <c r="B23" s="33" t="s">
        <v>58</v>
      </c>
      <c r="C23" s="191">
        <f>WACC!G22</f>
        <v>8.7847403778100519E-2</v>
      </c>
      <c r="D23" s="299"/>
      <c r="E23" s="202"/>
      <c r="F23" s="299"/>
      <c r="G23" s="300"/>
      <c r="H23" s="299"/>
      <c r="M23" s="1" t="s">
        <v>331</v>
      </c>
      <c r="P23" s="104">
        <f>-Investment!C21</f>
        <v>-12009</v>
      </c>
    </row>
    <row r="24" spans="2:16" ht="13.8" thickBot="1" x14ac:dyDescent="0.3">
      <c r="B24" s="2"/>
      <c r="C24" s="2"/>
      <c r="M24" s="65" t="s">
        <v>88</v>
      </c>
      <c r="N24" s="65"/>
      <c r="O24" s="65"/>
      <c r="P24" s="106">
        <f>SUM(P21:P23)</f>
        <v>137373.57984714615</v>
      </c>
    </row>
    <row r="25" spans="2:16" ht="14.4" thickTop="1" thickBot="1" x14ac:dyDescent="0.3">
      <c r="B25" s="34" t="s">
        <v>59</v>
      </c>
      <c r="C25" s="125">
        <f>C20*(1-(C21/C22))/(C23-C21)</f>
        <v>225404.69946530811</v>
      </c>
    </row>
    <row r="26" spans="2:16" ht="13.8" thickTop="1" x14ac:dyDescent="0.25">
      <c r="M26" s="1" t="s">
        <v>112</v>
      </c>
      <c r="P26" s="107">
        <f>WACC!C5*1000/WACC!F11</f>
        <v>1504.4000725264168</v>
      </c>
    </row>
    <row r="27" spans="2:16" ht="13.8" thickBot="1" x14ac:dyDescent="0.3">
      <c r="M27" s="108" t="s">
        <v>90</v>
      </c>
      <c r="N27" s="109"/>
      <c r="O27" s="109"/>
      <c r="P27" s="304">
        <f>P24/P26</f>
        <v>91.314526206082661</v>
      </c>
    </row>
    <row r="28" spans="2:16" ht="13.8" thickTop="1" x14ac:dyDescent="0.25"/>
  </sheetData>
  <sheetProtection sheet="1" objects="1" scenarios="1"/>
  <mergeCells count="3">
    <mergeCell ref="C2:D2"/>
    <mergeCell ref="E2:F2"/>
    <mergeCell ref="I2:K2"/>
  </mergeCells>
  <conditionalFormatting sqref="B2:C2 E2 G2:I2 B3:J16">
    <cfRule type="expression" dxfId="22" priority="3">
      <formula>_xlfn.ISFORMULA(B2)</formula>
    </cfRule>
  </conditionalFormatting>
  <conditionalFormatting sqref="K4:L15">
    <cfRule type="expression" dxfId="21" priority="1">
      <formula>_xlfn.ISFORMULA(K4)</formula>
    </cfRule>
  </conditionalFormatting>
  <conditionalFormatting sqref="L2:P2 K3:P3 M14:P27 J16:L20 B19:C25">
    <cfRule type="expression" dxfId="20" priority="6">
      <formula>_xlfn.ISFORMULA(B2)</formula>
    </cfRule>
  </conditionalFormatting>
  <conditionalFormatting sqref="N4:P13">
    <cfRule type="expression" dxfId="19" priority="5">
      <formula>_xlfn.ISFORMULA(N4)</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Chack</vt:lpstr>
      <vt:lpstr>DATA</vt:lpstr>
      <vt:lpstr>Income&amp;Equity</vt:lpstr>
      <vt:lpstr>NOPAT</vt:lpstr>
      <vt:lpstr>Balance</vt:lpstr>
      <vt:lpstr>Investment</vt:lpstr>
      <vt:lpstr>FCF</vt:lpstr>
      <vt:lpstr>WACC</vt:lpstr>
      <vt:lpstr>DCF Method</vt:lpstr>
      <vt:lpstr>EC Profit Method</vt:lpstr>
      <vt:lpstr>Unlevered CoE</vt:lpstr>
      <vt:lpstr>APV Method</vt:lpstr>
      <vt:lpstr>CF to Eq. Method</vt:lpstr>
      <vt:lpstr>ROIC Decomposition</vt:lpstr>
      <vt:lpstr>Growth Power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Online2PDF.com</dc:creator>
  <cp:lastModifiedBy>Shota Modebadze</cp:lastModifiedBy>
  <dcterms:created xsi:type="dcterms:W3CDTF">2024-08-12T10:52:13Z</dcterms:created>
  <dcterms:modified xsi:type="dcterms:W3CDTF">2024-08-22T04:49:07Z</dcterms:modified>
</cp:coreProperties>
</file>