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esktop/Book - Valuation Mcnz/Real Estate/"/>
    </mc:Choice>
  </mc:AlternateContent>
  <xr:revisionPtr revIDLastSave="162" documentId="8_{69AF73A0-4269-4BD4-BE7F-2DEBC343317F}" xr6:coauthVersionLast="47" xr6:coauthVersionMax="47" xr10:uidLastSave="{475E7A41-AB84-4C14-AEA0-E4D46674F535}"/>
  <bookViews>
    <workbookView xWindow="-108" yWindow="-108" windowWidth="23256" windowHeight="12456" xr2:uid="{A5A39ED6-F5CB-4632-925E-E368E1F7674C}"/>
  </bookViews>
  <sheets>
    <sheet name="Sheet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J32" i="1"/>
  <c r="K32" i="1" s="1"/>
  <c r="L32" i="1" s="1"/>
  <c r="M32" i="1" s="1"/>
  <c r="N32" i="1" s="1"/>
  <c r="O32" i="1" s="1"/>
  <c r="P32" i="1" s="1"/>
  <c r="H16" i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J14" i="1"/>
  <c r="K14" i="1" s="1"/>
  <c r="L14" i="1" s="1"/>
  <c r="M14" i="1" s="1"/>
  <c r="N14" i="1" s="1"/>
  <c r="O14" i="1" s="1"/>
  <c r="P14" i="1" s="1"/>
  <c r="D17" i="1"/>
  <c r="E17" i="1" s="1"/>
  <c r="D35" i="1"/>
  <c r="C46" i="1"/>
  <c r="E38" i="1"/>
  <c r="D38" i="1"/>
  <c r="E20" i="1"/>
  <c r="D20" i="1"/>
  <c r="D37" i="1"/>
  <c r="E37" i="1" s="1"/>
  <c r="D19" i="1"/>
  <c r="D36" i="1"/>
  <c r="E36" i="1" s="1"/>
  <c r="D18" i="1"/>
  <c r="E18" i="1" s="1"/>
  <c r="E35" i="1"/>
  <c r="E34" i="1"/>
  <c r="D34" i="1"/>
  <c r="E16" i="1"/>
  <c r="D16" i="1"/>
  <c r="D21" i="1" l="1"/>
  <c r="D26" i="1" s="1"/>
  <c r="D22" i="1"/>
  <c r="D23" i="1" s="1"/>
  <c r="E39" i="1"/>
  <c r="E40" i="1" s="1"/>
  <c r="E41" i="1" s="1"/>
  <c r="E42" i="1" s="1"/>
  <c r="D39" i="1"/>
  <c r="D40" i="1" s="1"/>
  <c r="E19" i="1"/>
  <c r="E21" i="1" s="1"/>
  <c r="E22" i="1" s="1"/>
  <c r="E23" i="1" s="1"/>
  <c r="E24" i="1" s="1"/>
  <c r="D41" i="1" l="1"/>
  <c r="D42" i="1" s="1"/>
  <c r="D28" i="1"/>
  <c r="D24" i="1"/>
  <c r="D44" i="1"/>
  <c r="D46" i="1" s="1"/>
  <c r="E44" i="1"/>
  <c r="E46" i="1" s="1"/>
  <c r="H32" i="1" s="1"/>
  <c r="E26" i="1"/>
  <c r="E28" i="1" s="1"/>
  <c r="H14" i="1" s="1"/>
</calcChain>
</file>

<file path=xl/sharedStrings.xml><?xml version="1.0" encoding="utf-8"?>
<sst xmlns="http://schemas.openxmlformats.org/spreadsheetml/2006/main" count="42" uniqueCount="29">
  <si>
    <t>დაშვება</t>
  </si>
  <si>
    <t>მიწის ფასი ქეშით/კვ.მ.</t>
  </si>
  <si>
    <t>მიწის ფასი ფართებით</t>
  </si>
  <si>
    <t>სარგებლიანობა (სასრგ/სამშ.)</t>
  </si>
  <si>
    <t>არქიტექტურა/კვ.მ. (დღგ-ს გარშე)</t>
  </si>
  <si>
    <t>მშენებლობა/კვ.მ. (დღგ-ს გარშე)</t>
  </si>
  <si>
    <t>მარკეტინგი/გაყიდვები</t>
  </si>
  <si>
    <t>მენეჯმენტი/ხარჯები</t>
  </si>
  <si>
    <t>ინვესტიცია საბრუნავში/ბიუჯეტი</t>
  </si>
  <si>
    <t>პროექტის ხანგრძლივობა (წელი)</t>
  </si>
  <si>
    <t>მიწის ყიდვა ფულით</t>
  </si>
  <si>
    <t>პესიმისტური</t>
  </si>
  <si>
    <t>ოპტიმისტური</t>
  </si>
  <si>
    <t>მიწის ყიდვა ფართებით</t>
  </si>
  <si>
    <t>ფასი</t>
  </si>
  <si>
    <t>დღგ</t>
  </si>
  <si>
    <t>მიწის ხარჯი</t>
  </si>
  <si>
    <t>არქიტექტურა</t>
  </si>
  <si>
    <t>მშენებლობა</t>
  </si>
  <si>
    <t>მარკეტინგი</t>
  </si>
  <si>
    <t>მენეჯმენტი</t>
  </si>
  <si>
    <t>EBITDA</t>
  </si>
  <si>
    <t>NOPAT</t>
  </si>
  <si>
    <t>ინვესტირებული კაპიტალი</t>
  </si>
  <si>
    <t>წლიური უკუგება ინვესტიციაზე</t>
  </si>
  <si>
    <t>NOPAT Margin %</t>
  </si>
  <si>
    <t>მიწის ფასის ვარიაცია</t>
  </si>
  <si>
    <t>გასაყიდი ფასების ვარიაცია</t>
  </si>
  <si>
    <t>მიწის ფასის ვარიაცია (ბარტერის წილი)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</si>
</sst>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7" formatCode="0.0%"/>
  </numFmts>
  <fonts count="5" x14ac:knownFonts="1"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ptos Display"/>
      <family val="1"/>
      <charset val="204"/>
      <scheme val="major"/>
    </font>
    <font>
      <b/>
      <sz val="10"/>
      <name val="Aptos Display"/>
      <family val="1"/>
      <charset val="204"/>
      <scheme val="major"/>
    </font>
    <font>
      <sz val="10"/>
      <color theme="0"/>
      <name val="Aptos Display"/>
      <family val="1"/>
      <charset val="204"/>
      <scheme val="maj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 applyAlignment="1">
      <alignment horizontal="left" vertical="top"/>
    </xf>
    <xf numFmtId="0" fontId="3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9" fontId="2" fillId="0" borderId="4" xfId="0" applyNumberFormat="1" applyFont="1" applyBorder="1" applyAlignment="1">
      <alignment horizontal="right" vertical="center" wrapText="1"/>
    </xf>
    <xf numFmtId="44" fontId="2" fillId="0" borderId="4" xfId="2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top"/>
    </xf>
    <xf numFmtId="9" fontId="2" fillId="0" borderId="4" xfId="2" applyNumberFormat="1" applyFont="1" applyBorder="1" applyAlignment="1">
      <alignment horizontal="right" vertical="center" wrapText="1"/>
    </xf>
    <xf numFmtId="164" fontId="2" fillId="0" borderId="0" xfId="0" applyNumberFormat="1" applyFont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9" fontId="2" fillId="0" borderId="6" xfId="2" applyNumberFormat="1" applyFont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top"/>
    </xf>
    <xf numFmtId="165" fontId="2" fillId="0" borderId="8" xfId="1" applyNumberFormat="1" applyFont="1" applyBorder="1" applyAlignment="1">
      <alignment horizontal="right" vertical="center" wrapText="1"/>
    </xf>
    <xf numFmtId="0" fontId="3" fillId="3" borderId="9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left" vertical="top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44" fontId="2" fillId="0" borderId="12" xfId="2" applyFont="1" applyBorder="1" applyAlignment="1">
      <alignment horizontal="left" vertical="top"/>
    </xf>
    <xf numFmtId="44" fontId="2" fillId="0" borderId="6" xfId="2" applyFont="1" applyBorder="1" applyAlignment="1">
      <alignment horizontal="left" vertical="top"/>
    </xf>
    <xf numFmtId="165" fontId="2" fillId="0" borderId="0" xfId="1" applyNumberFormat="1" applyFont="1" applyBorder="1" applyAlignment="1">
      <alignment horizontal="right" vertical="center"/>
    </xf>
    <xf numFmtId="165" fontId="2" fillId="0" borderId="4" xfId="1" applyNumberFormat="1" applyFont="1" applyBorder="1" applyAlignment="1">
      <alignment horizontal="right" vertical="center"/>
    </xf>
    <xf numFmtId="44" fontId="2" fillId="0" borderId="0" xfId="2" applyFont="1" applyBorder="1" applyAlignment="1">
      <alignment horizontal="left" vertical="center"/>
    </xf>
    <xf numFmtId="44" fontId="2" fillId="0" borderId="4" xfId="2" applyFont="1" applyBorder="1" applyAlignment="1">
      <alignment horizontal="left" vertical="center"/>
    </xf>
    <xf numFmtId="44" fontId="2" fillId="0" borderId="12" xfId="2" applyFont="1" applyBorder="1" applyAlignment="1">
      <alignment horizontal="left" vertical="center"/>
    </xf>
    <xf numFmtId="44" fontId="2" fillId="0" borderId="6" xfId="2" applyFont="1" applyBorder="1" applyAlignment="1">
      <alignment horizontal="left" vertical="center"/>
    </xf>
    <xf numFmtId="164" fontId="2" fillId="0" borderId="0" xfId="2" applyNumberFormat="1" applyFont="1" applyBorder="1" applyAlignment="1">
      <alignment horizontal="right" vertical="center"/>
    </xf>
    <xf numFmtId="164" fontId="2" fillId="0" borderId="4" xfId="2" applyNumberFormat="1" applyFont="1" applyBorder="1" applyAlignment="1">
      <alignment horizontal="right" vertical="center"/>
    </xf>
    <xf numFmtId="164" fontId="2" fillId="0" borderId="12" xfId="2" applyNumberFormat="1" applyFont="1" applyBorder="1" applyAlignment="1">
      <alignment horizontal="right" vertical="center"/>
    </xf>
    <xf numFmtId="164" fontId="2" fillId="0" borderId="6" xfId="2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left" vertical="top"/>
    </xf>
    <xf numFmtId="9" fontId="2" fillId="0" borderId="16" xfId="3" applyFont="1" applyBorder="1" applyAlignment="1">
      <alignment horizontal="right" vertical="center"/>
    </xf>
    <xf numFmtId="9" fontId="2" fillId="0" borderId="8" xfId="3" applyFont="1" applyBorder="1" applyAlignment="1">
      <alignment horizontal="right" vertical="center"/>
    </xf>
    <xf numFmtId="164" fontId="2" fillId="0" borderId="0" xfId="2" applyNumberFormat="1" applyFont="1" applyAlignment="1">
      <alignment horizontal="right" vertical="center"/>
    </xf>
    <xf numFmtId="165" fontId="2" fillId="0" borderId="0" xfId="1" applyNumberFormat="1" applyFont="1" applyAlignment="1">
      <alignment horizontal="right" vertical="center"/>
    </xf>
    <xf numFmtId="164" fontId="2" fillId="5" borderId="14" xfId="2" applyNumberFormat="1" applyFont="1" applyFill="1" applyBorder="1" applyAlignment="1">
      <alignment horizontal="right" vertical="center"/>
    </xf>
    <xf numFmtId="164" fontId="2" fillId="5" borderId="15" xfId="2" applyNumberFormat="1" applyFont="1" applyFill="1" applyBorder="1" applyAlignment="1">
      <alignment horizontal="right" vertical="center"/>
    </xf>
    <xf numFmtId="44" fontId="2" fillId="5" borderId="0" xfId="2" applyFont="1" applyFill="1" applyBorder="1" applyAlignment="1">
      <alignment horizontal="left" vertical="center"/>
    </xf>
    <xf numFmtId="44" fontId="2" fillId="5" borderId="4" xfId="2" applyFont="1" applyFill="1" applyBorder="1" applyAlignment="1">
      <alignment horizontal="left" vertical="center"/>
    </xf>
    <xf numFmtId="9" fontId="2" fillId="0" borderId="0" xfId="3" applyFont="1" applyBorder="1" applyAlignment="1">
      <alignment horizontal="right" vertical="center"/>
    </xf>
    <xf numFmtId="9" fontId="2" fillId="0" borderId="4" xfId="3" applyFont="1" applyBorder="1" applyAlignment="1">
      <alignment horizontal="right" vertical="center"/>
    </xf>
    <xf numFmtId="9" fontId="2" fillId="5" borderId="0" xfId="3" applyFont="1" applyFill="1" applyBorder="1" applyAlignment="1">
      <alignment horizontal="right" vertical="center"/>
    </xf>
    <xf numFmtId="9" fontId="2" fillId="5" borderId="4" xfId="3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right" vertical="center"/>
    </xf>
    <xf numFmtId="44" fontId="2" fillId="5" borderId="4" xfId="2" applyFont="1" applyFill="1" applyBorder="1" applyAlignment="1">
      <alignment vertical="center" wrapText="1"/>
    </xf>
    <xf numFmtId="9" fontId="2" fillId="6" borderId="17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top"/>
    </xf>
    <xf numFmtId="0" fontId="2" fillId="6" borderId="10" xfId="0" applyFont="1" applyFill="1" applyBorder="1" applyAlignment="1">
      <alignment horizontal="left" vertical="top"/>
    </xf>
    <xf numFmtId="0" fontId="2" fillId="6" borderId="18" xfId="0" applyFont="1" applyFill="1" applyBorder="1" applyAlignment="1">
      <alignment horizontal="center" vertical="top"/>
    </xf>
    <xf numFmtId="0" fontId="2" fillId="6" borderId="2" xfId="0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left" vertical="top"/>
    </xf>
    <xf numFmtId="164" fontId="2" fillId="6" borderId="0" xfId="2" applyNumberFormat="1" applyFont="1" applyFill="1" applyBorder="1" applyAlignment="1">
      <alignment horizontal="left" vertical="top"/>
    </xf>
    <xf numFmtId="164" fontId="2" fillId="6" borderId="4" xfId="2" applyNumberFormat="1" applyFont="1" applyFill="1" applyBorder="1" applyAlignment="1">
      <alignment horizontal="left" vertical="top"/>
    </xf>
    <xf numFmtId="44" fontId="2" fillId="6" borderId="0" xfId="2" applyFont="1" applyFill="1" applyBorder="1" applyAlignment="1">
      <alignment horizontal="left" vertical="top"/>
    </xf>
    <xf numFmtId="44" fontId="2" fillId="6" borderId="16" xfId="2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9" fontId="2" fillId="2" borderId="17" xfId="0" applyNumberFormat="1" applyFont="1" applyFill="1" applyBorder="1" applyAlignment="1">
      <alignment horizontal="center" vertical="center"/>
    </xf>
    <xf numFmtId="167" fontId="2" fillId="2" borderId="0" xfId="3" applyNumberFormat="1" applyFont="1" applyFill="1" applyBorder="1" applyAlignment="1">
      <alignment horizontal="right" vertical="top"/>
    </xf>
    <xf numFmtId="0" fontId="2" fillId="2" borderId="18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164" fontId="2" fillId="2" borderId="0" xfId="2" applyNumberFormat="1" applyFont="1" applyFill="1" applyBorder="1" applyAlignment="1">
      <alignment horizontal="left" vertical="top"/>
    </xf>
    <xf numFmtId="164" fontId="2" fillId="2" borderId="4" xfId="2" applyNumberFormat="1" applyFont="1" applyFill="1" applyBorder="1" applyAlignment="1">
      <alignment horizontal="left" vertical="top"/>
    </xf>
    <xf numFmtId="167" fontId="2" fillId="2" borderId="16" xfId="3" applyNumberFormat="1" applyFont="1" applyFill="1" applyBorder="1" applyAlignment="1">
      <alignment horizontal="right" vertical="top"/>
    </xf>
    <xf numFmtId="167" fontId="4" fillId="7" borderId="0" xfId="3" applyNumberFormat="1" applyFont="1" applyFill="1" applyBorder="1" applyAlignment="1">
      <alignment horizontal="right" vertical="top"/>
    </xf>
    <xf numFmtId="0" fontId="2" fillId="2" borderId="19" xfId="0" applyFont="1" applyFill="1" applyBorder="1" applyAlignment="1">
      <alignment horizontal="center" vertical="center" textRotation="90"/>
    </xf>
    <xf numFmtId="0" fontId="2" fillId="2" borderId="20" xfId="0" applyFont="1" applyFill="1" applyBorder="1" applyAlignment="1">
      <alignment horizontal="center" vertical="center" textRotation="90"/>
    </xf>
    <xf numFmtId="0" fontId="2" fillId="6" borderId="19" xfId="0" applyFont="1" applyFill="1" applyBorder="1" applyAlignment="1">
      <alignment horizontal="center" vertical="center" textRotation="90"/>
    </xf>
    <xf numFmtId="0" fontId="2" fillId="6" borderId="20" xfId="0" applyFont="1" applyFill="1" applyBorder="1" applyAlignment="1">
      <alignment horizontal="center" vertical="center" textRotation="9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E2D34-4B44-46E9-AE31-5E7A73571823}">
  <dimension ref="C1:P46"/>
  <sheetViews>
    <sheetView showGridLines="0" tabSelected="1" workbookViewId="0">
      <selection activeCell="C2" sqref="C2:D11"/>
    </sheetView>
  </sheetViews>
  <sheetFormatPr defaultRowHeight="13.8" x14ac:dyDescent="0.25"/>
  <cols>
    <col min="1" max="2" width="8.88671875" style="1"/>
    <col min="3" max="3" width="31.6640625" style="1" bestFit="1" customWidth="1"/>
    <col min="4" max="4" width="14.21875" style="1" bestFit="1" customWidth="1"/>
    <col min="5" max="5" width="15" style="1" bestFit="1" customWidth="1"/>
    <col min="6" max="6" width="7.6640625" style="1" customWidth="1"/>
    <col min="7" max="7" width="3.44140625" style="1" bestFit="1" customWidth="1"/>
    <col min="8" max="8" width="10.109375" style="1" customWidth="1"/>
    <col min="9" max="9" width="10.6640625" style="1" customWidth="1"/>
    <col min="10" max="11" width="9" style="1" bestFit="1" customWidth="1"/>
    <col min="12" max="16" width="10" style="1" bestFit="1" customWidth="1"/>
    <col min="17" max="1999" width="8.88671875" style="1"/>
    <col min="2000" max="2000" width="2.44140625" style="1" customWidth="1"/>
    <col min="2001" max="16384" width="8.88671875" style="1"/>
  </cols>
  <sheetData>
    <row r="1" spans="3:16" ht="14.4" thickBot="1" x14ac:dyDescent="0.3"/>
    <row r="2" spans="3:16" x14ac:dyDescent="0.25">
      <c r="C2" s="2" t="s">
        <v>0</v>
      </c>
      <c r="D2" s="3"/>
    </row>
    <row r="3" spans="3:16" x14ac:dyDescent="0.25">
      <c r="C3" s="4" t="s">
        <v>1</v>
      </c>
      <c r="D3" s="47">
        <v>225</v>
      </c>
    </row>
    <row r="4" spans="3:16" x14ac:dyDescent="0.25">
      <c r="C4" s="4" t="s">
        <v>2</v>
      </c>
      <c r="D4" s="46">
        <v>0.25</v>
      </c>
    </row>
    <row r="5" spans="3:16" x14ac:dyDescent="0.25">
      <c r="C5" s="4" t="s">
        <v>3</v>
      </c>
      <c r="D5" s="5">
        <v>0.75</v>
      </c>
    </row>
    <row r="6" spans="3:16" x14ac:dyDescent="0.25">
      <c r="C6" s="4" t="s">
        <v>4</v>
      </c>
      <c r="D6" s="6">
        <v>10</v>
      </c>
    </row>
    <row r="7" spans="3:16" x14ac:dyDescent="0.25">
      <c r="C7" s="7" t="s">
        <v>5</v>
      </c>
      <c r="D7" s="6">
        <v>250</v>
      </c>
    </row>
    <row r="8" spans="3:16" x14ac:dyDescent="0.25">
      <c r="C8" s="7" t="s">
        <v>6</v>
      </c>
      <c r="D8" s="8">
        <v>0.02</v>
      </c>
      <c r="E8" s="9"/>
    </row>
    <row r="9" spans="3:16" x14ac:dyDescent="0.25">
      <c r="C9" s="10" t="s">
        <v>7</v>
      </c>
      <c r="D9" s="11">
        <v>0.15</v>
      </c>
    </row>
    <row r="10" spans="3:16" x14ac:dyDescent="0.25">
      <c r="C10" s="7" t="s">
        <v>8</v>
      </c>
      <c r="D10" s="8">
        <v>0.4</v>
      </c>
    </row>
    <row r="11" spans="3:16" ht="14.4" thickBot="1" x14ac:dyDescent="0.3">
      <c r="C11" s="12" t="s">
        <v>9</v>
      </c>
      <c r="D11" s="13">
        <v>2</v>
      </c>
    </row>
    <row r="12" spans="3:16" ht="14.4" thickBot="1" x14ac:dyDescent="0.3"/>
    <row r="13" spans="3:16" ht="14.4" thickBot="1" x14ac:dyDescent="0.3">
      <c r="C13" s="14" t="s">
        <v>10</v>
      </c>
      <c r="D13" s="15" t="s">
        <v>11</v>
      </c>
      <c r="E13" s="16" t="s">
        <v>12</v>
      </c>
      <c r="G13" s="49"/>
      <c r="H13" s="50"/>
      <c r="I13" s="51" t="s">
        <v>27</v>
      </c>
      <c r="J13" s="51"/>
      <c r="K13" s="51"/>
      <c r="L13" s="51"/>
      <c r="M13" s="51"/>
      <c r="N13" s="51"/>
      <c r="O13" s="51"/>
      <c r="P13" s="52"/>
    </row>
    <row r="14" spans="3:16" ht="13.8" customHeight="1" thickBot="1" x14ac:dyDescent="0.3">
      <c r="C14" s="20" t="s">
        <v>14</v>
      </c>
      <c r="D14" s="21">
        <v>900</v>
      </c>
      <c r="E14" s="22">
        <v>1100</v>
      </c>
      <c r="G14" s="53"/>
      <c r="H14" s="48">
        <f>E28</f>
        <v>0.24543341082696774</v>
      </c>
      <c r="I14" s="54">
        <v>700</v>
      </c>
      <c r="J14" s="54">
        <f>I14+100</f>
        <v>800</v>
      </c>
      <c r="K14" s="54">
        <f t="shared" ref="K14:O14" si="0">J14+100</f>
        <v>900</v>
      </c>
      <c r="L14" s="54">
        <f t="shared" si="0"/>
        <v>1000</v>
      </c>
      <c r="M14" s="54">
        <f t="shared" si="0"/>
        <v>1100</v>
      </c>
      <c r="N14" s="54">
        <f t="shared" si="0"/>
        <v>1200</v>
      </c>
      <c r="O14" s="54">
        <f t="shared" si="0"/>
        <v>1300</v>
      </c>
      <c r="P14" s="55">
        <f t="shared" ref="P14" si="1">O14+100</f>
        <v>1400</v>
      </c>
    </row>
    <row r="15" spans="3:16" x14ac:dyDescent="0.25">
      <c r="C15" s="7"/>
      <c r="D15" s="23"/>
      <c r="E15" s="24"/>
      <c r="G15" s="71" t="s">
        <v>26</v>
      </c>
      <c r="H15" s="56">
        <v>100</v>
      </c>
      <c r="I15" s="42">
        <f t="dataTable" ref="I15:P28" dt2D="1" dtr="1" r1="E14" r2="D3"/>
        <v>0.10172603745868533</v>
      </c>
      <c r="J15" s="42">
        <v>0.20395403852652924</v>
      </c>
      <c r="K15" s="42">
        <v>0.30173357852759469</v>
      </c>
      <c r="L15" s="42">
        <v>0.39534883720930231</v>
      </c>
      <c r="M15" s="42">
        <v>0.4850602934479139</v>
      </c>
      <c r="N15" s="42">
        <v>0.57110714562805476</v>
      </c>
      <c r="O15" s="42">
        <v>0.65370944135033915</v>
      </c>
      <c r="P15" s="43">
        <v>0.73306995639372396</v>
      </c>
    </row>
    <row r="16" spans="3:16" x14ac:dyDescent="0.25">
      <c r="C16" s="7" t="s">
        <v>15</v>
      </c>
      <c r="D16" s="25">
        <f>-D14*15.25%</f>
        <v>-137.25</v>
      </c>
      <c r="E16" s="26">
        <f>-E14*15.25%</f>
        <v>-167.75</v>
      </c>
      <c r="G16" s="71"/>
      <c r="H16" s="56">
        <f>H15+12.5</f>
        <v>112.5</v>
      </c>
      <c r="I16" s="42">
        <v>8.21949092721007E-2</v>
      </c>
      <c r="J16" s="42">
        <v>0.1809463824945651</v>
      </c>
      <c r="K16" s="42">
        <v>0.27556094844048373</v>
      </c>
      <c r="L16" s="42">
        <v>0.36629322942036047</v>
      </c>
      <c r="M16" s="42">
        <v>0.45337737217915913</v>
      </c>
      <c r="N16" s="42">
        <v>0.5370290655237594</v>
      </c>
      <c r="O16" s="42">
        <v>0.617447323985023</v>
      </c>
      <c r="P16" s="43">
        <v>0.69481606856690159</v>
      </c>
    </row>
    <row r="17" spans="3:16" x14ac:dyDescent="0.25">
      <c r="C17" s="7" t="s">
        <v>16</v>
      </c>
      <c r="D17" s="40">
        <f>-D3</f>
        <v>-225</v>
      </c>
      <c r="E17" s="41">
        <f>D17</f>
        <v>-225</v>
      </c>
      <c r="G17" s="71"/>
      <c r="H17" s="56">
        <f>H16+12.5</f>
        <v>125</v>
      </c>
      <c r="I17" s="42">
        <v>6.4127415519274242E-2</v>
      </c>
      <c r="J17" s="42">
        <v>0.15962735350530396</v>
      </c>
      <c r="K17" s="42">
        <v>0.25127044700558038</v>
      </c>
      <c r="L17" s="42">
        <v>0.3392857142857143</v>
      </c>
      <c r="M17" s="42">
        <v>0.42388439348976087</v>
      </c>
      <c r="N17" s="42">
        <v>0.50526163526561296</v>
      </c>
      <c r="O17" s="42">
        <v>0.5835980056423995</v>
      </c>
      <c r="P17" s="43">
        <v>0.65906082352121531</v>
      </c>
    </row>
    <row r="18" spans="3:16" x14ac:dyDescent="0.25">
      <c r="C18" s="7" t="s">
        <v>17</v>
      </c>
      <c r="D18" s="25">
        <f>-D6/D5</f>
        <v>-13.333333333333334</v>
      </c>
      <c r="E18" s="26">
        <f>D18</f>
        <v>-13.333333333333334</v>
      </c>
      <c r="G18" s="71"/>
      <c r="H18" s="56">
        <f>H17+12.5</f>
        <v>137.5</v>
      </c>
      <c r="I18" s="42">
        <v>4.7364974189074711E-2</v>
      </c>
      <c r="J18" s="42">
        <v>0.1398176291793313</v>
      </c>
      <c r="K18" s="42">
        <v>0.22866609899670504</v>
      </c>
      <c r="L18" s="42">
        <v>0.31411711302768952</v>
      </c>
      <c r="M18" s="42">
        <v>0.39636188711516529</v>
      </c>
      <c r="N18" s="42">
        <v>0.4755775519840505</v>
      </c>
      <c r="O18" s="42">
        <v>0.55192842669231024</v>
      </c>
      <c r="P18" s="43">
        <v>0.62556715637492222</v>
      </c>
    </row>
    <row r="19" spans="3:16" x14ac:dyDescent="0.25">
      <c r="C19" s="7" t="s">
        <v>18</v>
      </c>
      <c r="D19" s="25">
        <f>-D7/D5</f>
        <v>-333.33333333333331</v>
      </c>
      <c r="E19" s="26">
        <f>D19</f>
        <v>-333.33333333333331</v>
      </c>
      <c r="G19" s="71"/>
      <c r="H19" s="56">
        <f>H18+12.5</f>
        <v>150</v>
      </c>
      <c r="I19" s="42">
        <v>3.1771114126898599E-2</v>
      </c>
      <c r="J19" s="42">
        <v>0.12136240974400116</v>
      </c>
      <c r="K19" s="42">
        <v>0.20757822423385869</v>
      </c>
      <c r="L19" s="42">
        <v>0.29060579455662866</v>
      </c>
      <c r="M19" s="42">
        <v>0.37061876109856379</v>
      </c>
      <c r="N19" s="42">
        <v>0.44777837984286084</v>
      </c>
      <c r="O19" s="42">
        <v>0.52223460713037972</v>
      </c>
      <c r="P19" s="43">
        <v>0.59412707236519402</v>
      </c>
    </row>
    <row r="20" spans="3:16" x14ac:dyDescent="0.25">
      <c r="C20" s="7" t="s">
        <v>19</v>
      </c>
      <c r="D20" s="25">
        <f>-D8*D14</f>
        <v>-18</v>
      </c>
      <c r="E20" s="26">
        <f>-D8*E14</f>
        <v>-22</v>
      </c>
      <c r="G20" s="71"/>
      <c r="H20" s="56">
        <f>H19+12.5</f>
        <v>162.5</v>
      </c>
      <c r="I20" s="42">
        <v>1.7227751230553704E-2</v>
      </c>
      <c r="J20" s="42">
        <v>0.10412736472786902</v>
      </c>
      <c r="K20" s="42">
        <v>0.18785917053243784</v>
      </c>
      <c r="L20" s="42">
        <v>0.26859328516787084</v>
      </c>
      <c r="M20" s="42">
        <v>0.3464878586459133</v>
      </c>
      <c r="N20" s="42">
        <v>0.42169010848336641</v>
      </c>
      <c r="O20" s="42">
        <v>0.49433724832214759</v>
      </c>
      <c r="P20" s="43">
        <v>0.56455732347668819</v>
      </c>
    </row>
    <row r="21" spans="3:16" x14ac:dyDescent="0.25">
      <c r="C21" s="10" t="s">
        <v>20</v>
      </c>
      <c r="D21" s="27">
        <f>(D20+D19+D18)*D9</f>
        <v>-54.699999999999996</v>
      </c>
      <c r="E21" s="28">
        <f>(E20+E19+E18)*D9</f>
        <v>-55.29999999999999</v>
      </c>
      <c r="G21" s="71"/>
      <c r="H21" s="56">
        <f>H20+12.5</f>
        <v>175</v>
      </c>
      <c r="I21" s="42">
        <v>3.6321926973810433E-3</v>
      </c>
      <c r="J21" s="42">
        <v>8.7995357886473058E-2</v>
      </c>
      <c r="K21" s="42">
        <v>0.16937985145941958</v>
      </c>
      <c r="L21" s="42">
        <v>0.24794069192751236</v>
      </c>
      <c r="M21" s="42">
        <v>0.32382232442148556</v>
      </c>
      <c r="N21" s="42">
        <v>0.39715950705346625</v>
      </c>
      <c r="O21" s="42">
        <v>0.46807810958517976</v>
      </c>
      <c r="P21" s="43">
        <v>0.53669583436036472</v>
      </c>
    </row>
    <row r="22" spans="3:16" x14ac:dyDescent="0.25">
      <c r="C22" s="7" t="s">
        <v>21</v>
      </c>
      <c r="D22" s="29">
        <f>SUM(D14:D21)</f>
        <v>118.38333333333333</v>
      </c>
      <c r="E22" s="30">
        <f>SUM(E14:E21)</f>
        <v>283.2833333333333</v>
      </c>
      <c r="G22" s="71"/>
      <c r="H22" s="56">
        <f>H21+12.5</f>
        <v>187.5</v>
      </c>
      <c r="I22" s="42">
        <v>-9.105291503971949E-3</v>
      </c>
      <c r="J22" s="42">
        <v>7.2863781441730516E-2</v>
      </c>
      <c r="K22" s="42">
        <v>0.15202691720035111</v>
      </c>
      <c r="L22" s="42">
        <v>0.22852576907710748</v>
      </c>
      <c r="M22" s="42">
        <v>0.30249261331489274</v>
      </c>
      <c r="N22" s="42">
        <v>0.37405111238230704</v>
      </c>
      <c r="O22" s="42">
        <v>0.44331700489853038</v>
      </c>
      <c r="P22" s="43">
        <v>0.51039873029182314</v>
      </c>
    </row>
    <row r="23" spans="3:16" x14ac:dyDescent="0.25">
      <c r="C23" s="10" t="s">
        <v>22</v>
      </c>
      <c r="D23" s="31">
        <f>D22-D22*20%</f>
        <v>94.706666666666663</v>
      </c>
      <c r="E23" s="32">
        <f>E22-E22*20%</f>
        <v>226.62666666666664</v>
      </c>
      <c r="G23" s="71"/>
      <c r="H23" s="56">
        <f>H22+12.5</f>
        <v>200</v>
      </c>
      <c r="I23" s="42">
        <v>-2.1063451403958124E-2</v>
      </c>
      <c r="J23" s="42">
        <v>5.8642371358911892E-2</v>
      </c>
      <c r="K23" s="42">
        <v>0.13570042746502201</v>
      </c>
      <c r="L23" s="42">
        <v>0.21024049650892165</v>
      </c>
      <c r="M23" s="42">
        <v>0.28238401294597187</v>
      </c>
      <c r="N23" s="42">
        <v>0.35224472624556763</v>
      </c>
      <c r="O23" s="42">
        <v>0.41992929935363627</v>
      </c>
      <c r="P23" s="43">
        <v>0.48553785208703498</v>
      </c>
    </row>
    <row r="24" spans="3:16" x14ac:dyDescent="0.25">
      <c r="C24" s="7" t="s">
        <v>25</v>
      </c>
      <c r="D24" s="44">
        <f>D23/D14</f>
        <v>0.10522962962962963</v>
      </c>
      <c r="E24" s="45">
        <f>E23/E14</f>
        <v>0.20602424242424239</v>
      </c>
      <c r="G24" s="71"/>
      <c r="H24" s="56">
        <f>H23+12.5</f>
        <v>212.5</v>
      </c>
      <c r="I24" s="42">
        <v>-3.2311686666877712E-2</v>
      </c>
      <c r="J24" s="42">
        <v>4.5251405347327162E-2</v>
      </c>
      <c r="K24" s="42">
        <v>0.12031192548106386</v>
      </c>
      <c r="L24" s="42">
        <v>0.19298906897851489</v>
      </c>
      <c r="M24" s="42">
        <v>0.26339457983317988</v>
      </c>
      <c r="N24" s="42">
        <v>0.33163332407826862</v>
      </c>
      <c r="O24" s="42">
        <v>0.39780381094928324</v>
      </c>
      <c r="P24" s="43">
        <v>0.46199866736606315</v>
      </c>
    </row>
    <row r="25" spans="3:16" x14ac:dyDescent="0.25">
      <c r="C25" s="7"/>
      <c r="D25" s="29"/>
      <c r="E25" s="30"/>
      <c r="G25" s="71"/>
      <c r="H25" s="56">
        <f>H24+12.5</f>
        <v>225</v>
      </c>
      <c r="I25" s="42">
        <v>-4.2911394351255315E-2</v>
      </c>
      <c r="J25" s="42">
        <v>3.2620207583139209E-2</v>
      </c>
      <c r="K25" s="42">
        <v>0.10578283467615827</v>
      </c>
      <c r="L25" s="42">
        <v>0.17668621700879766</v>
      </c>
      <c r="M25" s="42">
        <v>0.24543341082696774</v>
      </c>
      <c r="N25" s="42">
        <v>0.31212129832446733</v>
      </c>
      <c r="O25" s="42">
        <v>0.37684104317605344</v>
      </c>
      <c r="P25" s="43">
        <v>0.43967850632491845</v>
      </c>
    </row>
    <row r="26" spans="3:16" x14ac:dyDescent="0.25">
      <c r="C26" s="33" t="s">
        <v>23</v>
      </c>
      <c r="D26" s="38">
        <f>-(D19+D18+D20+D21+D16)*D10+D3</f>
        <v>447.64666666666665</v>
      </c>
      <c r="E26" s="39">
        <f>-(E19+E18+E20+E21+E16)*D10+D3</f>
        <v>461.68666666666672</v>
      </c>
      <c r="G26" s="71"/>
      <c r="H26" s="56">
        <f>H25+12.5</f>
        <v>237.5</v>
      </c>
      <c r="I26" s="42">
        <v>-5.2917090083089202E-2</v>
      </c>
      <c r="J26" s="42">
        <v>2.0685900925421927E-2</v>
      </c>
      <c r="K26" s="42">
        <v>9.2043116687433035E-2</v>
      </c>
      <c r="L26" s="42">
        <v>0.16125579735997148</v>
      </c>
      <c r="M26" s="42">
        <v>0.22841918794286351</v>
      </c>
      <c r="N26" s="42">
        <v>0.29362297557528994</v>
      </c>
      <c r="O26" s="42">
        <v>0.35695168910615283</v>
      </c>
      <c r="P26" s="43">
        <v>0.41848506468157276</v>
      </c>
    </row>
    <row r="27" spans="3:16" x14ac:dyDescent="0.25">
      <c r="C27" s="7"/>
      <c r="D27" s="29"/>
      <c r="E27" s="30"/>
      <c r="G27" s="71"/>
      <c r="H27" s="56">
        <f>H26+12.5</f>
        <v>250</v>
      </c>
      <c r="I27" s="42">
        <v>-6.237734587373344E-2</v>
      </c>
      <c r="J27" s="42">
        <v>9.3923601168318365E-3</v>
      </c>
      <c r="K27" s="42">
        <v>7.9030142319139074E-2</v>
      </c>
      <c r="L27" s="42">
        <v>0.14662960389159138</v>
      </c>
      <c r="M27" s="42">
        <v>0.21227894744051609</v>
      </c>
      <c r="N27" s="42">
        <v>0.27606135897158907</v>
      </c>
      <c r="O27" s="42">
        <v>0.33805535954412919</v>
      </c>
      <c r="P27" s="43">
        <v>0.39833512775399804</v>
      </c>
    </row>
    <row r="28" spans="3:16" ht="14.4" thickBot="1" x14ac:dyDescent="0.3">
      <c r="C28" s="12" t="s">
        <v>24</v>
      </c>
      <c r="D28" s="34">
        <f>D23/D26/D11</f>
        <v>0.10578283467615827</v>
      </c>
      <c r="E28" s="35">
        <f>E23/E26/D11</f>
        <v>0.24543341082696774</v>
      </c>
      <c r="G28" s="72"/>
      <c r="H28" s="57">
        <f>H27+12.5</f>
        <v>262.5</v>
      </c>
      <c r="I28" s="34">
        <v>-7.1335578637534272E-2</v>
      </c>
      <c r="J28" s="34">
        <v>-1.3106708124764317E-3</v>
      </c>
      <c r="K28" s="34">
        <v>6.6687737041719389E-2</v>
      </c>
      <c r="L28" s="34">
        <v>0.13274635963427023</v>
      </c>
      <c r="M28" s="34">
        <v>0.19694703384171583</v>
      </c>
      <c r="N28" s="34">
        <v>0.25936705693326839</v>
      </c>
      <c r="O28" s="34">
        <v>0.32007949703834565</v>
      </c>
      <c r="P28" s="35">
        <v>0.37915347847815772</v>
      </c>
    </row>
    <row r="29" spans="3:16" x14ac:dyDescent="0.25">
      <c r="D29" s="36"/>
      <c r="E29" s="36"/>
    </row>
    <row r="30" spans="3:16" ht="14.4" thickBot="1" x14ac:dyDescent="0.3">
      <c r="D30" s="37"/>
      <c r="E30" s="37"/>
    </row>
    <row r="31" spans="3:16" ht="14.4" thickBot="1" x14ac:dyDescent="0.3">
      <c r="C31" s="17" t="s">
        <v>13</v>
      </c>
      <c r="D31" s="18" t="s">
        <v>11</v>
      </c>
      <c r="E31" s="19" t="s">
        <v>12</v>
      </c>
      <c r="G31" s="58"/>
      <c r="H31" s="59"/>
      <c r="I31" s="63" t="s">
        <v>27</v>
      </c>
      <c r="J31" s="63"/>
      <c r="K31" s="63"/>
      <c r="L31" s="63"/>
      <c r="M31" s="63"/>
      <c r="N31" s="63"/>
      <c r="O31" s="63"/>
      <c r="P31" s="64"/>
    </row>
    <row r="32" spans="3:16" ht="13.8" customHeight="1" thickBot="1" x14ac:dyDescent="0.3">
      <c r="C32" s="20" t="s">
        <v>14</v>
      </c>
      <c r="D32" s="21">
        <v>900</v>
      </c>
      <c r="E32" s="22">
        <v>1100</v>
      </c>
      <c r="G32" s="60"/>
      <c r="H32" s="61">
        <f>E46</f>
        <v>0.39424837337689767</v>
      </c>
      <c r="I32" s="65">
        <v>700</v>
      </c>
      <c r="J32" s="65">
        <f>I32+100</f>
        <v>800</v>
      </c>
      <c r="K32" s="65">
        <f t="shared" ref="K32:P32" si="2">J32+100</f>
        <v>900</v>
      </c>
      <c r="L32" s="65">
        <f t="shared" si="2"/>
        <v>1000</v>
      </c>
      <c r="M32" s="65">
        <f t="shared" si="2"/>
        <v>1100</v>
      </c>
      <c r="N32" s="65">
        <f t="shared" si="2"/>
        <v>1200</v>
      </c>
      <c r="O32" s="65">
        <f t="shared" si="2"/>
        <v>1300</v>
      </c>
      <c r="P32" s="66">
        <f t="shared" si="2"/>
        <v>1400</v>
      </c>
    </row>
    <row r="33" spans="3:16" ht="13.8" customHeight="1" x14ac:dyDescent="0.25">
      <c r="C33" s="7"/>
      <c r="D33" s="23"/>
      <c r="E33" s="24"/>
      <c r="G33" s="69" t="s">
        <v>28</v>
      </c>
      <c r="H33" s="62">
        <v>0.1</v>
      </c>
      <c r="I33" s="42">
        <f t="dataTable" ref="I33:P46" dt2D="1" dtr="1" r1="E32" r2="D4"/>
        <v>0.2080150842095172</v>
      </c>
      <c r="J33" s="42">
        <v>0.33564185011130349</v>
      </c>
      <c r="K33" s="42">
        <v>0.45522052879001107</v>
      </c>
      <c r="L33" s="42">
        <v>0.56748911465892593</v>
      </c>
      <c r="M33" s="42">
        <v>0.67309804805227713</v>
      </c>
      <c r="N33" s="42">
        <v>0.77262282525440396</v>
      </c>
      <c r="O33" s="42">
        <v>0.86657449014863452</v>
      </c>
      <c r="P33" s="43">
        <v>0.9554084113599921</v>
      </c>
    </row>
    <row r="34" spans="3:16" x14ac:dyDescent="0.25">
      <c r="C34" s="7" t="s">
        <v>15</v>
      </c>
      <c r="D34" s="25">
        <f>-D32*15.25%</f>
        <v>-137.25</v>
      </c>
      <c r="E34" s="26">
        <f>-E32*15.25%</f>
        <v>-167.75</v>
      </c>
      <c r="G34" s="69"/>
      <c r="H34" s="62">
        <f>H33+2.5%</f>
        <v>0.125</v>
      </c>
      <c r="I34" s="42">
        <v>0.17445910964814171</v>
      </c>
      <c r="J34" s="42">
        <v>0.29854068760821173</v>
      </c>
      <c r="K34" s="42">
        <v>0.41479773632362188</v>
      </c>
      <c r="L34" s="42">
        <v>0.52394775036284469</v>
      </c>
      <c r="M34" s="42">
        <v>0.62662310227304729</v>
      </c>
      <c r="N34" s="42">
        <v>0.72338330233067061</v>
      </c>
      <c r="O34" s="42">
        <v>0.814725198755617</v>
      </c>
      <c r="P34" s="43">
        <v>0.9010915110444363</v>
      </c>
    </row>
    <row r="35" spans="3:16" x14ac:dyDescent="0.25">
      <c r="C35" s="7" t="s">
        <v>16</v>
      </c>
      <c r="D35" s="40">
        <f>-D32*D4</f>
        <v>-225</v>
      </c>
      <c r="E35" s="41">
        <f>-E32*D4</f>
        <v>-275</v>
      </c>
      <c r="G35" s="69"/>
      <c r="H35" s="62">
        <f>H34+2.5%</f>
        <v>0.15</v>
      </c>
      <c r="I35" s="42">
        <v>0.14090313508676625</v>
      </c>
      <c r="J35" s="42">
        <v>0.26143952510511997</v>
      </c>
      <c r="K35" s="42">
        <v>0.37437494385723269</v>
      </c>
      <c r="L35" s="42">
        <v>0.48040638606676345</v>
      </c>
      <c r="M35" s="42">
        <v>0.58014815649381735</v>
      </c>
      <c r="N35" s="42">
        <v>0.67414377940693737</v>
      </c>
      <c r="O35" s="42">
        <v>0.76287590736259936</v>
      </c>
      <c r="P35" s="43">
        <v>0.84677461072888105</v>
      </c>
    </row>
    <row r="36" spans="3:16" x14ac:dyDescent="0.25">
      <c r="C36" s="7" t="s">
        <v>17</v>
      </c>
      <c r="D36" s="25">
        <f>-D6/D5</f>
        <v>-13.333333333333334</v>
      </c>
      <c r="E36" s="26">
        <f>D36</f>
        <v>-13.333333333333334</v>
      </c>
      <c r="G36" s="69"/>
      <c r="H36" s="62">
        <f>H35+2.5%</f>
        <v>0.17499999999999999</v>
      </c>
      <c r="I36" s="42">
        <v>0.10734716052539077</v>
      </c>
      <c r="J36" s="42">
        <v>0.22433836260202816</v>
      </c>
      <c r="K36" s="42">
        <v>0.3339521513908435</v>
      </c>
      <c r="L36" s="42">
        <v>0.43686502177068215</v>
      </c>
      <c r="M36" s="42">
        <v>0.5336732107145874</v>
      </c>
      <c r="N36" s="42">
        <v>0.62490425648320391</v>
      </c>
      <c r="O36" s="42">
        <v>0.71102661596958172</v>
      </c>
      <c r="P36" s="43">
        <v>0.7924577104133258</v>
      </c>
    </row>
    <row r="37" spans="3:16" x14ac:dyDescent="0.25">
      <c r="C37" s="7" t="s">
        <v>18</v>
      </c>
      <c r="D37" s="25">
        <f>-D7/D5</f>
        <v>-333.33333333333331</v>
      </c>
      <c r="E37" s="26">
        <f>D37</f>
        <v>-333.33333333333331</v>
      </c>
      <c r="G37" s="69"/>
      <c r="H37" s="62">
        <f>H36+2.5%</f>
        <v>0.19999999999999998</v>
      </c>
      <c r="I37" s="42">
        <v>7.3791185964015293E-2</v>
      </c>
      <c r="J37" s="42">
        <v>0.18723720009893652</v>
      </c>
      <c r="K37" s="42">
        <v>0.29352935892445425</v>
      </c>
      <c r="L37" s="42">
        <v>0.39332365747460085</v>
      </c>
      <c r="M37" s="42">
        <v>0.48719826493535745</v>
      </c>
      <c r="N37" s="42">
        <v>0.57566473355947045</v>
      </c>
      <c r="O37" s="42">
        <v>0.65917732457656419</v>
      </c>
      <c r="P37" s="43">
        <v>0.73814081009777044</v>
      </c>
    </row>
    <row r="38" spans="3:16" x14ac:dyDescent="0.25">
      <c r="C38" s="7" t="s">
        <v>19</v>
      </c>
      <c r="D38" s="25">
        <f>-D8*D32</f>
        <v>-18</v>
      </c>
      <c r="E38" s="26">
        <f>-D8*E32</f>
        <v>-22</v>
      </c>
      <c r="G38" s="69"/>
      <c r="H38" s="62">
        <f>H37+2.5%</f>
        <v>0.22499999999999998</v>
      </c>
      <c r="I38" s="42">
        <v>4.0235211402639817E-2</v>
      </c>
      <c r="J38" s="42">
        <v>0.15013603759584473</v>
      </c>
      <c r="K38" s="42">
        <v>0.25310656645806512</v>
      </c>
      <c r="L38" s="42">
        <v>0.34978229317851961</v>
      </c>
      <c r="M38" s="42">
        <v>0.44072331915612756</v>
      </c>
      <c r="N38" s="42">
        <v>0.526425210635737</v>
      </c>
      <c r="O38" s="42">
        <v>0.60732803318354656</v>
      </c>
      <c r="P38" s="43">
        <v>0.68382390978221508</v>
      </c>
    </row>
    <row r="39" spans="3:16" x14ac:dyDescent="0.25">
      <c r="C39" s="10" t="s">
        <v>20</v>
      </c>
      <c r="D39" s="27">
        <f>(D38+D37+D36)*D9</f>
        <v>-54.699999999999996</v>
      </c>
      <c r="E39" s="28">
        <f>(E38+E37+E36)*D9</f>
        <v>-55.29999999999999</v>
      </c>
      <c r="G39" s="69"/>
      <c r="H39" s="62">
        <f>H38+2.5%</f>
        <v>0.24999999999999997</v>
      </c>
      <c r="I39" s="42">
        <v>6.6792368412643445E-3</v>
      </c>
      <c r="J39" s="42">
        <v>0.11303487509275299</v>
      </c>
      <c r="K39" s="42">
        <v>0.2126837739916759</v>
      </c>
      <c r="L39" s="42">
        <v>0.30624092888243831</v>
      </c>
      <c r="M39" s="42">
        <v>0.39424837337689767</v>
      </c>
      <c r="N39" s="42">
        <v>0.47718568771200348</v>
      </c>
      <c r="O39" s="42">
        <v>0.55547874179052892</v>
      </c>
      <c r="P39" s="43">
        <v>0.62950700946665994</v>
      </c>
    </row>
    <row r="40" spans="3:16" x14ac:dyDescent="0.25">
      <c r="C40" s="7" t="s">
        <v>21</v>
      </c>
      <c r="D40" s="29">
        <f>SUM(D32:D39)</f>
        <v>118.38333333333333</v>
      </c>
      <c r="E40" s="30">
        <f>SUM(E32:E39)</f>
        <v>233.28333333333333</v>
      </c>
      <c r="G40" s="69"/>
      <c r="H40" s="62">
        <f>H39+2.5%</f>
        <v>0.27499999999999997</v>
      </c>
      <c r="I40" s="42">
        <v>-2.6876737720111132E-2</v>
      </c>
      <c r="J40" s="42">
        <v>7.5933712589661237E-2</v>
      </c>
      <c r="K40" s="42">
        <v>0.17226098152528679</v>
      </c>
      <c r="L40" s="42">
        <v>0.26269956458635702</v>
      </c>
      <c r="M40" s="42">
        <v>0.34777342759766777</v>
      </c>
      <c r="N40" s="42">
        <v>0.42794616478827002</v>
      </c>
      <c r="O40" s="42">
        <v>0.50362945039751128</v>
      </c>
      <c r="P40" s="43">
        <v>0.57519010915110458</v>
      </c>
    </row>
    <row r="41" spans="3:16" x14ac:dyDescent="0.25">
      <c r="C41" s="10" t="s">
        <v>22</v>
      </c>
      <c r="D41" s="31">
        <f>D40-D40*20%</f>
        <v>94.706666666666663</v>
      </c>
      <c r="E41" s="32">
        <f>E40-E40*20%</f>
        <v>186.62666666666667</v>
      </c>
      <c r="G41" s="69"/>
      <c r="H41" s="68">
        <f>H40+2.5%</f>
        <v>0.3</v>
      </c>
      <c r="I41" s="42">
        <v>-6.0432712281486604E-2</v>
      </c>
      <c r="J41" s="42">
        <v>3.8832550086569467E-2</v>
      </c>
      <c r="K41" s="42">
        <v>0.1318381890588976</v>
      </c>
      <c r="L41" s="42">
        <v>0.21915820029027575</v>
      </c>
      <c r="M41" s="42">
        <v>0.30129848181843782</v>
      </c>
      <c r="N41" s="42">
        <v>0.37870664186453656</v>
      </c>
      <c r="O41" s="42">
        <v>0.45178015900449364</v>
      </c>
      <c r="P41" s="43">
        <v>0.52087320883554922</v>
      </c>
    </row>
    <row r="42" spans="3:16" x14ac:dyDescent="0.25">
      <c r="C42" s="7"/>
      <c r="D42" s="44">
        <f>D41/D32</f>
        <v>0.10522962962962963</v>
      </c>
      <c r="E42" s="45">
        <f>E41/E32</f>
        <v>0.16966060606060607</v>
      </c>
      <c r="G42" s="69"/>
      <c r="H42" s="62">
        <f>H41+2.5%</f>
        <v>0.32500000000000001</v>
      </c>
      <c r="I42" s="42">
        <v>-9.3988686842862074E-2</v>
      </c>
      <c r="J42" s="42">
        <v>1.7313875834777017E-3</v>
      </c>
      <c r="K42" s="42">
        <v>9.1415396592508386E-2</v>
      </c>
      <c r="L42" s="42">
        <v>0.17561683599419456</v>
      </c>
      <c r="M42" s="42">
        <v>0.25482353603920793</v>
      </c>
      <c r="N42" s="42">
        <v>0.32946711894080311</v>
      </c>
      <c r="O42" s="42">
        <v>0.399930867611476</v>
      </c>
      <c r="P42" s="43">
        <v>0.46655630851999386</v>
      </c>
    </row>
    <row r="43" spans="3:16" x14ac:dyDescent="0.25">
      <c r="C43" s="7"/>
      <c r="D43" s="29"/>
      <c r="E43" s="30"/>
      <c r="G43" s="69"/>
      <c r="H43" s="62">
        <f>H42+2.5%</f>
        <v>0.35000000000000003</v>
      </c>
      <c r="I43" s="42">
        <v>-0.12754466140423754</v>
      </c>
      <c r="J43" s="42">
        <v>-3.5369774919614065E-2</v>
      </c>
      <c r="K43" s="42">
        <v>5.0992604126119091E-2</v>
      </c>
      <c r="L43" s="42">
        <v>0.13207547169811318</v>
      </c>
      <c r="M43" s="42">
        <v>0.20834859025997801</v>
      </c>
      <c r="N43" s="42">
        <v>0.28022759601706965</v>
      </c>
      <c r="O43" s="42">
        <v>0.34808157621845837</v>
      </c>
      <c r="P43" s="43">
        <v>0.41223940820443855</v>
      </c>
    </row>
    <row r="44" spans="3:16" x14ac:dyDescent="0.25">
      <c r="C44" s="33" t="s">
        <v>23</v>
      </c>
      <c r="D44" s="38">
        <f>-(D37+D36+D38+D39+D34)*D10</f>
        <v>222.64666666666665</v>
      </c>
      <c r="E44" s="39">
        <f>-(E37+E36+E38+E39+E34)*D10</f>
        <v>236.6866666666667</v>
      </c>
      <c r="G44" s="69"/>
      <c r="H44" s="62">
        <f>H43+2.5%</f>
        <v>0.37500000000000006</v>
      </c>
      <c r="I44" s="42">
        <v>-0.16110063596561311</v>
      </c>
      <c r="J44" s="42">
        <v>-7.2470937422705925E-2</v>
      </c>
      <c r="K44" s="42">
        <v>1.0569811659729889E-2</v>
      </c>
      <c r="L44" s="42">
        <v>8.8534107402031909E-2</v>
      </c>
      <c r="M44" s="42">
        <v>0.16187364448074817</v>
      </c>
      <c r="N44" s="42">
        <v>0.23098807309333622</v>
      </c>
      <c r="O44" s="42">
        <v>0.29623228482544078</v>
      </c>
      <c r="P44" s="43">
        <v>0.35792250788888302</v>
      </c>
    </row>
    <row r="45" spans="3:16" x14ac:dyDescent="0.25">
      <c r="C45" s="7"/>
      <c r="D45" s="29"/>
      <c r="E45" s="30"/>
      <c r="G45" s="69"/>
      <c r="H45" s="62">
        <f>H44+2.5%</f>
        <v>0.40000000000000008</v>
      </c>
      <c r="I45" s="42">
        <v>-0.1946566105269886</v>
      </c>
      <c r="J45" s="42">
        <v>-0.10957209992579771</v>
      </c>
      <c r="K45" s="42">
        <v>-2.985298080665931E-2</v>
      </c>
      <c r="L45" s="42">
        <v>4.4992743105950632E-2</v>
      </c>
      <c r="M45" s="42">
        <v>0.11539869870151807</v>
      </c>
      <c r="N45" s="42">
        <v>0.18174855016960256</v>
      </c>
      <c r="O45" s="42">
        <v>0.24438299343242292</v>
      </c>
      <c r="P45" s="43">
        <v>0.30360560757332772</v>
      </c>
    </row>
    <row r="46" spans="3:16" ht="14.4" thickBot="1" x14ac:dyDescent="0.3">
      <c r="C46" s="12" t="str">
        <f>C28</f>
        <v>წლიური უკუგება ინვესტიციაზე</v>
      </c>
      <c r="D46" s="34">
        <f>D41/D44/D11</f>
        <v>0.2126837739916759</v>
      </c>
      <c r="E46" s="35">
        <f>E41/E44/D11</f>
        <v>0.39424837337689767</v>
      </c>
      <c r="G46" s="70"/>
      <c r="H46" s="67">
        <f>H45+2.5%</f>
        <v>0.4250000000000001</v>
      </c>
      <c r="I46" s="34">
        <v>-0.22821258508836406</v>
      </c>
      <c r="J46" s="34">
        <v>-0.14667326242888948</v>
      </c>
      <c r="K46" s="34">
        <v>-7.0275773273048611E-2</v>
      </c>
      <c r="L46" s="34">
        <v>1.4513788098692562E-3</v>
      </c>
      <c r="M46" s="34">
        <v>6.892375292228814E-2</v>
      </c>
      <c r="N46" s="34">
        <v>0.13250902724586924</v>
      </c>
      <c r="O46" s="34">
        <v>0.19253370203940526</v>
      </c>
      <c r="P46" s="35">
        <v>0.24928870725777236</v>
      </c>
    </row>
  </sheetData>
  <mergeCells count="4">
    <mergeCell ref="G33:G46"/>
    <mergeCell ref="I13:P13"/>
    <mergeCell ref="I31:P31"/>
    <mergeCell ref="G15:G28"/>
  </mergeCells>
  <conditionalFormatting sqref="I15:P28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I33:P4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2024-07-01T07:15:19Z</dcterms:created>
  <dcterms:modified xsi:type="dcterms:W3CDTF">2024-07-06T09:00:37Z</dcterms:modified>
</cp:coreProperties>
</file>